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5\1-kv\"/>
    </mc:Choice>
  </mc:AlternateContent>
  <xr:revisionPtr revIDLastSave="0" documentId="13_ncr:1_{8C0C0E89-A0ED-44B8-AAFC-21C61D05F059}" xr6:coauthVersionLast="46" xr6:coauthVersionMax="46" xr10:uidLastSave="{00000000-0000-0000-0000-000000000000}"/>
  <bookViews>
    <workbookView xWindow="-120" yWindow="-120" windowWidth="29040" windowHeight="15840" xr2:uid="{3CA8AAB4-448F-4BE0-9225-09718143671C}"/>
  </bookViews>
  <sheets>
    <sheet name="6-ИЛОВА" sheetId="1" r:id="rId1"/>
  </sheets>
  <definedNames>
    <definedName name="_xlnm._FilterDatabase" localSheetId="0" hidden="1">'6-ИЛОВА'!$A$7:$K$61</definedName>
    <definedName name="_xlnm.Print_Area" localSheetId="0">'6-ИЛОВА'!$A$1:$K$68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0" i="1" l="1"/>
  <c r="K61" i="1" s="1"/>
  <c r="J60" i="1"/>
  <c r="J61" i="1" s="1"/>
  <c r="I59" i="1"/>
  <c r="G59" i="1"/>
  <c r="I58" i="1"/>
  <c r="G58" i="1" s="1"/>
  <c r="I57" i="1"/>
  <c r="G57" i="1" s="1"/>
  <c r="I56" i="1"/>
  <c r="G56" i="1"/>
  <c r="I55" i="1"/>
  <c r="G55" i="1" s="1"/>
  <c r="I54" i="1"/>
  <c r="G54" i="1" s="1"/>
  <c r="I53" i="1"/>
  <c r="G53" i="1"/>
  <c r="I52" i="1"/>
  <c r="G52" i="1" s="1"/>
  <c r="I51" i="1"/>
  <c r="H51" i="1"/>
  <c r="G51" i="1"/>
  <c r="I50" i="1"/>
  <c r="G50" i="1" s="1"/>
  <c r="I49" i="1"/>
  <c r="G49" i="1"/>
  <c r="I48" i="1"/>
  <c r="G48" i="1"/>
  <c r="I47" i="1"/>
  <c r="G47" i="1" s="1"/>
  <c r="I46" i="1"/>
  <c r="G46" i="1"/>
  <c r="I45" i="1"/>
  <c r="G45" i="1"/>
  <c r="I44" i="1"/>
  <c r="G44" i="1" s="1"/>
  <c r="I43" i="1"/>
  <c r="G43" i="1"/>
  <c r="I42" i="1"/>
  <c r="G42" i="1"/>
  <c r="I41" i="1"/>
  <c r="G41" i="1" s="1"/>
  <c r="I40" i="1"/>
  <c r="G40" i="1"/>
  <c r="I39" i="1"/>
  <c r="G39" i="1"/>
  <c r="I38" i="1"/>
  <c r="G38" i="1" s="1"/>
  <c r="D38" i="1"/>
  <c r="I37" i="1"/>
  <c r="G37" i="1" s="1"/>
  <c r="I36" i="1"/>
  <c r="G36" i="1"/>
  <c r="I35" i="1"/>
  <c r="H35" i="1"/>
  <c r="G35" i="1"/>
  <c r="I34" i="1"/>
  <c r="G34" i="1"/>
  <c r="I33" i="1"/>
  <c r="G33" i="1" s="1"/>
  <c r="I32" i="1"/>
  <c r="G32" i="1"/>
  <c r="I31" i="1"/>
  <c r="G31" i="1"/>
  <c r="G30" i="1"/>
  <c r="G29" i="1"/>
  <c r="G28" i="1"/>
  <c r="I27" i="1"/>
  <c r="G27" i="1" s="1"/>
  <c r="D27" i="1"/>
  <c r="I26" i="1"/>
  <c r="G26" i="1" s="1"/>
  <c r="I25" i="1"/>
  <c r="G25" i="1"/>
  <c r="I24" i="1"/>
  <c r="G24" i="1"/>
  <c r="I23" i="1"/>
  <c r="G23" i="1" s="1"/>
  <c r="I22" i="1"/>
  <c r="G22" i="1"/>
  <c r="I21" i="1"/>
  <c r="G21" i="1"/>
  <c r="I20" i="1"/>
  <c r="G20" i="1" s="1"/>
  <c r="I19" i="1"/>
  <c r="G19" i="1"/>
  <c r="G18" i="1"/>
  <c r="G17" i="1"/>
  <c r="I16" i="1"/>
  <c r="G16" i="1" s="1"/>
  <c r="I15" i="1"/>
  <c r="G15" i="1"/>
  <c r="I14" i="1"/>
  <c r="G14" i="1"/>
  <c r="I13" i="1"/>
  <c r="G13" i="1" s="1"/>
  <c r="I12" i="1"/>
  <c r="G12" i="1"/>
  <c r="D12" i="1"/>
  <c r="I11" i="1"/>
  <c r="I60" i="1" s="1"/>
  <c r="I61" i="1" s="1"/>
  <c r="H11" i="1"/>
  <c r="G11" i="1" s="1"/>
  <c r="G10" i="1"/>
  <c r="G9" i="1"/>
  <c r="G60" i="1" l="1"/>
  <c r="G61" i="1" s="1"/>
  <c r="H60" i="1"/>
  <c r="H61" i="1" s="1"/>
</calcChain>
</file>

<file path=xl/sharedStrings.xml><?xml version="1.0" encoding="utf-8"?>
<sst xmlns="http://schemas.openxmlformats.org/spreadsheetml/2006/main" count="223" uniqueCount="46">
  <si>
    <t>7-ИЛОВА</t>
  </si>
  <si>
    <t>Ўзбекистон Республикаси Олий таълим, фан ва инновациялар вазирлиги раҳбариятининг маҳаллий хизмат сафарлари харажатлари тўғрисидаги
МАЪЛУМОТЛАР</t>
  </si>
  <si>
    <t>01.01.2025-30.06.2025</t>
  </si>
  <si>
    <t>Т/р</t>
  </si>
  <si>
    <t>Хизмат сафарининг қисқача мақсади</t>
  </si>
  <si>
    <t>Хизмат сафари амалга оширилган ҳудуд</t>
  </si>
  <si>
    <r>
      <t xml:space="preserve">Хизмат сафарининг давомийлик муддати
</t>
    </r>
    <r>
      <rPr>
        <sz val="11"/>
        <color rgb="FF000000"/>
        <rFont val="Times New Roman"/>
        <family val="1"/>
        <charset val="204"/>
      </rPr>
      <t>(суткада)</t>
    </r>
  </si>
  <si>
    <t xml:space="preserve">Хизмат сафарини амалга оширган ходимнинг фамилияси ва исми </t>
  </si>
  <si>
    <t>Молия­лаш­тириш манбаси</t>
  </si>
  <si>
    <t xml:space="preserve">Жами харажат </t>
  </si>
  <si>
    <r>
      <t>Шундан, харажат турлари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i/>
        <sz val="11"/>
        <color rgb="FF000000"/>
        <rFont val="Times New Roman"/>
        <family val="1"/>
        <charset val="204"/>
      </rPr>
      <t>(минг сўмда)</t>
    </r>
  </si>
  <si>
    <r>
      <t xml:space="preserve">Турар жой билан боғлиқ </t>
    </r>
    <r>
      <rPr>
        <i/>
        <sz val="11"/>
        <color rgb="FF000000"/>
        <rFont val="Times New Roman"/>
        <family val="1"/>
        <charset val="204"/>
      </rPr>
      <t>(меҳмонхона ёки турар жой ижараси) харажатлар</t>
    </r>
  </si>
  <si>
    <t>Йўл харажат­лари</t>
  </si>
  <si>
    <t>Кундалик харажатлар</t>
  </si>
  <si>
    <t>Бошқа харажат­лари</t>
  </si>
  <si>
    <t>2025 йил 1-2 чорак</t>
  </si>
  <si>
    <t>Таълим муассасалари фаолиятини ўрганиш ва тавсиялар бериш</t>
  </si>
  <si>
    <t>Самарқанд</t>
  </si>
  <si>
    <t>MAXKAMOV OTABEK MUXTAROVICH</t>
  </si>
  <si>
    <t>Бюджет маблағлари</t>
  </si>
  <si>
    <t>Наманган</t>
  </si>
  <si>
    <t>SHARIPOV KONGRATBAY AVEZIMBETOVICH</t>
  </si>
  <si>
    <t>Қарши</t>
  </si>
  <si>
    <t>BUZRUKXONOV SARVARXON MUNAVARXONOVICH</t>
  </si>
  <si>
    <t>Ўзбекистон-Хитой иккинчи ҳудудлараро форуми</t>
  </si>
  <si>
    <t>Ўзбекистон-Озарбойжон олий таълим муассасалари ректорлари форуми</t>
  </si>
  <si>
    <t>Андижон</t>
  </si>
  <si>
    <t>DALIYEV SHAXRUX XOJAKBAROVICH</t>
  </si>
  <si>
    <t>Термиз</t>
  </si>
  <si>
    <t>Бухоро</t>
  </si>
  <si>
    <t>Ўзбекистон ва Россия Федерацияси ҳудудлараро олийгоҳлар ректорлари конференцияси</t>
  </si>
  <si>
    <t>Нукус</t>
  </si>
  <si>
    <t>+</t>
  </si>
  <si>
    <t>Фарғона</t>
  </si>
  <si>
    <t>Урганч</t>
  </si>
  <si>
    <t>Жиззах</t>
  </si>
  <si>
    <t>Афғонистон Бош вазири бошчилигидаги делегация ташрифи доирасида эришилган келишувлар ижроси</t>
  </si>
  <si>
    <t>Фарҳона, Андижон, Наманган</t>
  </si>
  <si>
    <t>Самарқанд вилоятида энергия ресурсларини иқтисод қилиш масаласини илмий асосда ўрганишда иштирок этиш</t>
  </si>
  <si>
    <t>Навоий</t>
  </si>
  <si>
    <t>WorldSkills - ишчи касблар чемпионати</t>
  </si>
  <si>
    <t>Республика ишчи гуруҳи билан ўрганиш</t>
  </si>
  <si>
    <t>ЮНЕСКО Бош конференциясининг 43-сессиясига тайёргарлик кўриш</t>
  </si>
  <si>
    <t>Таълим муассасалари тизимидаги муаммо ва камчиликларни жойига чиққан ҳолда бартараф этиш мақсадида</t>
  </si>
  <si>
    <t>Маълумотлар эълон қилинаётган давр бўйича жами:</t>
  </si>
  <si>
    <t>Ҳисобот йилининг ўтган даври бўйича жами: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</si>
</sst>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_с_ў_м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</font>
    <font>
      <i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5" fillId="0" borderId="1" xfId="2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56775033-6935-4133-8CD1-0BFD91FD49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15FC5-AFB6-4A01-A231-E1A8451EB2E7}">
  <dimension ref="A2:L68"/>
  <sheetViews>
    <sheetView tabSelected="1" view="pageBreakPreview" zoomScale="85" zoomScaleNormal="85" zoomScaleSheetLayoutView="85" workbookViewId="0">
      <pane xSplit="3" ySplit="6" topLeftCell="D47" activePane="bottomRight" state="frozen"/>
      <selection pane="topRight" activeCell="D1" sqref="D1"/>
      <selection pane="bottomLeft" activeCell="A7" sqref="A7"/>
      <selection pane="bottomRight" activeCell="F49" sqref="F49"/>
    </sheetView>
  </sheetViews>
  <sheetFormatPr defaultRowHeight="15" x14ac:dyDescent="0.25"/>
  <cols>
    <col min="1" max="1" width="6.5703125" style="1" bestFit="1" customWidth="1"/>
    <col min="2" max="2" width="43.42578125" style="1" customWidth="1"/>
    <col min="3" max="3" width="19.140625" style="1" customWidth="1"/>
    <col min="4" max="4" width="14.28515625" style="1" customWidth="1"/>
    <col min="5" max="5" width="38" style="1" customWidth="1"/>
    <col min="6" max="6" width="29" style="1" bestFit="1" customWidth="1"/>
    <col min="7" max="7" width="14.85546875" style="1" bestFit="1" customWidth="1"/>
    <col min="8" max="11" width="14.28515625" style="1" customWidth="1"/>
    <col min="12" max="12" width="9.140625" style="2"/>
    <col min="13" max="16384" width="9.140625" style="1"/>
  </cols>
  <sheetData>
    <row r="2" spans="1:11" x14ac:dyDescent="0.25">
      <c r="K2" s="1" t="s">
        <v>0</v>
      </c>
    </row>
    <row r="3" spans="1:11" ht="32.25" customHeight="1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x14ac:dyDescent="0.25">
      <c r="J4" s="15" t="s">
        <v>2</v>
      </c>
      <c r="K4" s="15"/>
    </row>
    <row r="5" spans="1:11" ht="33" customHeight="1" x14ac:dyDescent="0.25">
      <c r="A5" s="16" t="s">
        <v>3</v>
      </c>
      <c r="B5" s="17" t="s">
        <v>4</v>
      </c>
      <c r="C5" s="17" t="s">
        <v>5</v>
      </c>
      <c r="D5" s="17" t="s">
        <v>6</v>
      </c>
      <c r="E5" s="17" t="s">
        <v>7</v>
      </c>
      <c r="F5" s="17" t="s">
        <v>8</v>
      </c>
      <c r="G5" s="17" t="s">
        <v>9</v>
      </c>
      <c r="H5" s="18" t="s">
        <v>10</v>
      </c>
      <c r="I5" s="18"/>
      <c r="J5" s="18"/>
      <c r="K5" s="18"/>
    </row>
    <row r="6" spans="1:11" ht="88.5" customHeight="1" x14ac:dyDescent="0.25">
      <c r="A6" s="16"/>
      <c r="B6" s="17"/>
      <c r="C6" s="17"/>
      <c r="D6" s="17"/>
      <c r="E6" s="17"/>
      <c r="F6" s="17"/>
      <c r="G6" s="17"/>
      <c r="H6" s="3" t="s">
        <v>11</v>
      </c>
      <c r="I6" s="3" t="s">
        <v>12</v>
      </c>
      <c r="J6" s="3" t="s">
        <v>13</v>
      </c>
      <c r="K6" s="3" t="s">
        <v>14</v>
      </c>
    </row>
    <row r="7" spans="1:1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</row>
    <row r="8" spans="1:11" x14ac:dyDescent="0.25">
      <c r="A8" s="10" t="s">
        <v>15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30" x14ac:dyDescent="0.25">
      <c r="A9" s="5"/>
      <c r="B9" s="5" t="s">
        <v>16</v>
      </c>
      <c r="C9" s="5" t="s">
        <v>17</v>
      </c>
      <c r="D9" s="5">
        <v>3</v>
      </c>
      <c r="E9" s="5" t="s">
        <v>18</v>
      </c>
      <c r="F9" s="5" t="s">
        <v>19</v>
      </c>
      <c r="G9" s="6">
        <f t="shared" ref="G9:G32" si="0">+H9+I9+J9+K9</f>
        <v>1652500</v>
      </c>
      <c r="H9" s="6">
        <v>1000000</v>
      </c>
      <c r="I9" s="6">
        <v>540000</v>
      </c>
      <c r="J9" s="6">
        <v>112500</v>
      </c>
      <c r="K9" s="6">
        <v>0</v>
      </c>
    </row>
    <row r="10" spans="1:11" ht="30" x14ac:dyDescent="0.25">
      <c r="A10" s="5"/>
      <c r="B10" s="5" t="s">
        <v>16</v>
      </c>
      <c r="C10" s="5" t="s">
        <v>20</v>
      </c>
      <c r="D10" s="5">
        <v>2</v>
      </c>
      <c r="E10" s="5" t="s">
        <v>18</v>
      </c>
      <c r="F10" s="5" t="s">
        <v>19</v>
      </c>
      <c r="G10" s="6">
        <f t="shared" si="0"/>
        <v>1575000</v>
      </c>
      <c r="H10" s="6">
        <v>1500000</v>
      </c>
      <c r="I10" s="6">
        <v>0</v>
      </c>
      <c r="J10" s="6">
        <v>75000</v>
      </c>
      <c r="K10" s="6">
        <v>0</v>
      </c>
    </row>
    <row r="11" spans="1:11" ht="30" x14ac:dyDescent="0.25">
      <c r="A11" s="5"/>
      <c r="B11" s="5" t="s">
        <v>16</v>
      </c>
      <c r="C11" s="5" t="s">
        <v>17</v>
      </c>
      <c r="D11" s="5">
        <v>4</v>
      </c>
      <c r="E11" s="5" t="s">
        <v>21</v>
      </c>
      <c r="F11" s="5" t="s">
        <v>19</v>
      </c>
      <c r="G11" s="6">
        <f t="shared" si="0"/>
        <v>2535500</v>
      </c>
      <c r="H11" s="6">
        <f>481500+963000</f>
        <v>1444500</v>
      </c>
      <c r="I11" s="6">
        <f>545000+396000</f>
        <v>941000</v>
      </c>
      <c r="J11" s="6">
        <v>150000</v>
      </c>
      <c r="K11" s="6">
        <v>0</v>
      </c>
    </row>
    <row r="12" spans="1:11" ht="30" x14ac:dyDescent="0.25">
      <c r="A12" s="5"/>
      <c r="B12" s="5" t="s">
        <v>16</v>
      </c>
      <c r="C12" s="5" t="s">
        <v>22</v>
      </c>
      <c r="D12" s="5">
        <f>262500/37500</f>
        <v>7</v>
      </c>
      <c r="E12" s="5" t="s">
        <v>23</v>
      </c>
      <c r="F12" s="5" t="s">
        <v>19</v>
      </c>
      <c r="G12" s="6">
        <f t="shared" si="0"/>
        <v>2878500</v>
      </c>
      <c r="H12" s="6">
        <v>1500000</v>
      </c>
      <c r="I12" s="6">
        <f>558000+558000</f>
        <v>1116000</v>
      </c>
      <c r="J12" s="6">
        <v>262500</v>
      </c>
      <c r="K12" s="6">
        <v>0</v>
      </c>
    </row>
    <row r="13" spans="1:11" ht="30" x14ac:dyDescent="0.25">
      <c r="A13" s="5"/>
      <c r="B13" s="5" t="s">
        <v>24</v>
      </c>
      <c r="C13" s="5" t="s">
        <v>17</v>
      </c>
      <c r="D13" s="5">
        <v>3</v>
      </c>
      <c r="E13" s="5" t="s">
        <v>21</v>
      </c>
      <c r="F13" s="5" t="s">
        <v>19</v>
      </c>
      <c r="G13" s="6">
        <f t="shared" si="0"/>
        <v>7341000</v>
      </c>
      <c r="H13" s="6">
        <v>6081500</v>
      </c>
      <c r="I13" s="6">
        <f>751000+396000</f>
        <v>1147000</v>
      </c>
      <c r="J13" s="6">
        <v>112500</v>
      </c>
      <c r="K13" s="6">
        <v>0</v>
      </c>
    </row>
    <row r="14" spans="1:11" ht="30" x14ac:dyDescent="0.25">
      <c r="A14" s="5"/>
      <c r="B14" s="5" t="s">
        <v>24</v>
      </c>
      <c r="C14" s="5" t="s">
        <v>17</v>
      </c>
      <c r="D14" s="5">
        <v>3</v>
      </c>
      <c r="E14" s="5" t="s">
        <v>18</v>
      </c>
      <c r="F14" s="5" t="s">
        <v>19</v>
      </c>
      <c r="G14" s="6">
        <f t="shared" si="0"/>
        <v>4024500</v>
      </c>
      <c r="H14" s="6">
        <v>3120000</v>
      </c>
      <c r="I14" s="6">
        <f>792000</f>
        <v>792000</v>
      </c>
      <c r="J14" s="6">
        <v>112500</v>
      </c>
      <c r="K14" s="6">
        <v>0</v>
      </c>
    </row>
    <row r="15" spans="1:11" ht="30" x14ac:dyDescent="0.25">
      <c r="A15" s="5"/>
      <c r="B15" s="5" t="s">
        <v>25</v>
      </c>
      <c r="C15" s="5" t="s">
        <v>26</v>
      </c>
      <c r="D15" s="5">
        <v>3</v>
      </c>
      <c r="E15" s="5" t="s">
        <v>27</v>
      </c>
      <c r="F15" s="5" t="s">
        <v>19</v>
      </c>
      <c r="G15" s="6">
        <f t="shared" si="0"/>
        <v>2258083</v>
      </c>
      <c r="H15" s="6">
        <v>1500000</v>
      </c>
      <c r="I15" s="6">
        <f>127500+518083</f>
        <v>645583</v>
      </c>
      <c r="J15" s="6">
        <v>112500</v>
      </c>
      <c r="K15" s="6">
        <v>0</v>
      </c>
    </row>
    <row r="16" spans="1:11" ht="30" x14ac:dyDescent="0.25">
      <c r="A16" s="5"/>
      <c r="B16" s="5" t="s">
        <v>16</v>
      </c>
      <c r="C16" s="5" t="s">
        <v>17</v>
      </c>
      <c r="D16" s="5">
        <v>2</v>
      </c>
      <c r="E16" s="5" t="s">
        <v>21</v>
      </c>
      <c r="F16" s="5" t="s">
        <v>19</v>
      </c>
      <c r="G16" s="6">
        <f t="shared" si="0"/>
        <v>1165000</v>
      </c>
      <c r="H16" s="6">
        <v>0</v>
      </c>
      <c r="I16" s="6">
        <f>545000*2</f>
        <v>1090000</v>
      </c>
      <c r="J16" s="6">
        <v>75000</v>
      </c>
      <c r="K16" s="6">
        <v>0</v>
      </c>
    </row>
    <row r="17" spans="1:11" ht="30" x14ac:dyDescent="0.25">
      <c r="A17" s="5"/>
      <c r="B17" s="5" t="s">
        <v>16</v>
      </c>
      <c r="C17" s="5" t="s">
        <v>28</v>
      </c>
      <c r="D17" s="5">
        <v>2</v>
      </c>
      <c r="E17" s="5" t="s">
        <v>18</v>
      </c>
      <c r="F17" s="5" t="s">
        <v>19</v>
      </c>
      <c r="G17" s="6">
        <f t="shared" si="0"/>
        <v>2494691</v>
      </c>
      <c r="H17" s="6">
        <v>750000</v>
      </c>
      <c r="I17" s="6">
        <v>1669691</v>
      </c>
      <c r="J17" s="6">
        <v>75000</v>
      </c>
      <c r="K17" s="6">
        <v>0</v>
      </c>
    </row>
    <row r="18" spans="1:11" ht="30" x14ac:dyDescent="0.25">
      <c r="A18" s="5"/>
      <c r="B18" s="5" t="s">
        <v>16</v>
      </c>
      <c r="C18" s="5" t="s">
        <v>29</v>
      </c>
      <c r="D18" s="5">
        <v>1</v>
      </c>
      <c r="E18" s="5" t="s">
        <v>23</v>
      </c>
      <c r="F18" s="5" t="s">
        <v>19</v>
      </c>
      <c r="G18" s="6">
        <f t="shared" si="0"/>
        <v>1837862</v>
      </c>
      <c r="H18" s="6">
        <v>0</v>
      </c>
      <c r="I18" s="6">
        <v>1800362</v>
      </c>
      <c r="J18" s="6">
        <v>37500</v>
      </c>
      <c r="K18" s="6">
        <v>0</v>
      </c>
    </row>
    <row r="19" spans="1:11" ht="45" x14ac:dyDescent="0.25">
      <c r="A19" s="5"/>
      <c r="B19" s="5" t="s">
        <v>30</v>
      </c>
      <c r="C19" s="5" t="s">
        <v>20</v>
      </c>
      <c r="D19" s="5">
        <v>2</v>
      </c>
      <c r="E19" s="5" t="s">
        <v>27</v>
      </c>
      <c r="F19" s="5" t="s">
        <v>19</v>
      </c>
      <c r="G19" s="6">
        <f t="shared" si="0"/>
        <v>2229324</v>
      </c>
      <c r="H19" s="6">
        <v>1500000</v>
      </c>
      <c r="I19" s="6">
        <f>547824+106500</f>
        <v>654324</v>
      </c>
      <c r="J19" s="6">
        <v>75000</v>
      </c>
      <c r="K19" s="6">
        <v>0</v>
      </c>
    </row>
    <row r="20" spans="1:11" ht="45" x14ac:dyDescent="0.25">
      <c r="A20" s="5"/>
      <c r="B20" s="5" t="s">
        <v>30</v>
      </c>
      <c r="C20" s="5" t="s">
        <v>20</v>
      </c>
      <c r="D20" s="5">
        <v>3</v>
      </c>
      <c r="E20" s="5" t="s">
        <v>23</v>
      </c>
      <c r="F20" s="5" t="s">
        <v>19</v>
      </c>
      <c r="G20" s="6">
        <f t="shared" si="0"/>
        <v>2107926</v>
      </c>
      <c r="H20" s="6">
        <v>1500000</v>
      </c>
      <c r="I20" s="6">
        <f>391551+103875</f>
        <v>495426</v>
      </c>
      <c r="J20" s="6">
        <v>112500</v>
      </c>
      <c r="K20" s="6">
        <v>0</v>
      </c>
    </row>
    <row r="21" spans="1:11" ht="30" x14ac:dyDescent="0.25">
      <c r="A21" s="5"/>
      <c r="B21" s="5" t="s">
        <v>16</v>
      </c>
      <c r="C21" s="5" t="s">
        <v>31</v>
      </c>
      <c r="D21" s="5"/>
      <c r="E21" s="5" t="s">
        <v>23</v>
      </c>
      <c r="F21" s="5" t="s">
        <v>19</v>
      </c>
      <c r="G21" s="6">
        <f t="shared" si="0"/>
        <v>3046839</v>
      </c>
      <c r="H21" s="6">
        <v>0</v>
      </c>
      <c r="I21" s="6">
        <f>1859209+60750+1089380</f>
        <v>3009339</v>
      </c>
      <c r="J21" s="6">
        <v>37500</v>
      </c>
      <c r="K21" s="6">
        <v>0</v>
      </c>
    </row>
    <row r="22" spans="1:11" ht="45" x14ac:dyDescent="0.25">
      <c r="A22" s="5"/>
      <c r="B22" s="5" t="s">
        <v>30</v>
      </c>
      <c r="C22" s="5" t="s">
        <v>22</v>
      </c>
      <c r="D22" s="5">
        <v>1</v>
      </c>
      <c r="E22" s="5" t="s">
        <v>23</v>
      </c>
      <c r="F22" s="5" t="s">
        <v>19</v>
      </c>
      <c r="G22" s="6">
        <f t="shared" si="0"/>
        <v>1137101</v>
      </c>
      <c r="H22" s="6">
        <v>0</v>
      </c>
      <c r="I22" s="6">
        <f>348601+751000</f>
        <v>1099601</v>
      </c>
      <c r="J22" s="6">
        <v>37500</v>
      </c>
      <c r="K22" s="6">
        <v>0</v>
      </c>
    </row>
    <row r="23" spans="1:11" ht="30" x14ac:dyDescent="0.25">
      <c r="A23" s="5" t="s">
        <v>32</v>
      </c>
      <c r="B23" s="5" t="s">
        <v>16</v>
      </c>
      <c r="C23" s="5" t="s">
        <v>28</v>
      </c>
      <c r="D23" s="5">
        <v>2</v>
      </c>
      <c r="E23" s="5" t="s">
        <v>23</v>
      </c>
      <c r="F23" s="5" t="s">
        <v>19</v>
      </c>
      <c r="G23" s="6">
        <f t="shared" si="0"/>
        <v>2554699</v>
      </c>
      <c r="H23" s="6">
        <v>420000</v>
      </c>
      <c r="I23" s="6">
        <f>1031009+1028690</f>
        <v>2059699</v>
      </c>
      <c r="J23" s="6">
        <v>75000</v>
      </c>
      <c r="K23" s="6">
        <v>0</v>
      </c>
    </row>
    <row r="24" spans="1:11" ht="30" x14ac:dyDescent="0.25">
      <c r="A24" s="5"/>
      <c r="B24" s="5" t="s">
        <v>16</v>
      </c>
      <c r="C24" s="5" t="s">
        <v>33</v>
      </c>
      <c r="D24" s="5">
        <v>1</v>
      </c>
      <c r="E24" s="5" t="s">
        <v>23</v>
      </c>
      <c r="F24" s="5" t="s">
        <v>19</v>
      </c>
      <c r="G24" s="6">
        <f t="shared" si="0"/>
        <v>897237</v>
      </c>
      <c r="H24" s="6">
        <v>0</v>
      </c>
      <c r="I24" s="6">
        <f>438620+421117</f>
        <v>859737</v>
      </c>
      <c r="J24" s="6">
        <v>37500</v>
      </c>
      <c r="K24" s="6">
        <v>0</v>
      </c>
    </row>
    <row r="25" spans="1:11" ht="30" x14ac:dyDescent="0.25">
      <c r="A25" s="5"/>
      <c r="B25" s="5" t="s">
        <v>16</v>
      </c>
      <c r="C25" s="5" t="s">
        <v>34</v>
      </c>
      <c r="D25" s="5">
        <v>4</v>
      </c>
      <c r="E25" s="5" t="s">
        <v>21</v>
      </c>
      <c r="F25" s="5" t="s">
        <v>19</v>
      </c>
      <c r="G25" s="6">
        <f t="shared" si="0"/>
        <v>4989363</v>
      </c>
      <c r="H25" s="6">
        <v>2200000</v>
      </c>
      <c r="I25" s="6">
        <f>1471758+1167605</f>
        <v>2639363</v>
      </c>
      <c r="J25" s="6">
        <v>150000</v>
      </c>
      <c r="K25" s="6">
        <v>0</v>
      </c>
    </row>
    <row r="26" spans="1:11" ht="30" x14ac:dyDescent="0.25">
      <c r="A26" s="5"/>
      <c r="B26" s="5" t="s">
        <v>16</v>
      </c>
      <c r="C26" s="5" t="s">
        <v>17</v>
      </c>
      <c r="D26" s="5">
        <v>2</v>
      </c>
      <c r="E26" s="5" t="s">
        <v>21</v>
      </c>
      <c r="F26" s="5" t="s">
        <v>19</v>
      </c>
      <c r="G26" s="6">
        <f t="shared" si="0"/>
        <v>1740000</v>
      </c>
      <c r="H26" s="6">
        <v>1125000</v>
      </c>
      <c r="I26" s="6">
        <f>270000+270000</f>
        <v>540000</v>
      </c>
      <c r="J26" s="6">
        <v>75000</v>
      </c>
      <c r="K26" s="6">
        <v>0</v>
      </c>
    </row>
    <row r="27" spans="1:11" ht="30" x14ac:dyDescent="0.25">
      <c r="A27" s="5"/>
      <c r="B27" s="5" t="s">
        <v>16</v>
      </c>
      <c r="C27" s="5" t="s">
        <v>17</v>
      </c>
      <c r="D27" s="5">
        <f>150000/37500</f>
        <v>4</v>
      </c>
      <c r="E27" s="5" t="s">
        <v>18</v>
      </c>
      <c r="F27" s="5" t="s">
        <v>19</v>
      </c>
      <c r="G27" s="6">
        <f t="shared" si="0"/>
        <v>4542000</v>
      </c>
      <c r="H27" s="6">
        <v>3600000</v>
      </c>
      <c r="I27" s="6">
        <f>396000+396000</f>
        <v>792000</v>
      </c>
      <c r="J27" s="6">
        <v>150000</v>
      </c>
      <c r="K27" s="6">
        <v>0</v>
      </c>
    </row>
    <row r="28" spans="1:11" ht="30" x14ac:dyDescent="0.25">
      <c r="A28" s="5"/>
      <c r="B28" s="5" t="s">
        <v>16</v>
      </c>
      <c r="C28" s="5" t="s">
        <v>26</v>
      </c>
      <c r="D28" s="5"/>
      <c r="E28" s="5" t="s">
        <v>21</v>
      </c>
      <c r="F28" s="5" t="s">
        <v>19</v>
      </c>
      <c r="G28" s="6">
        <f t="shared" si="0"/>
        <v>2432830</v>
      </c>
      <c r="H28" s="6">
        <v>1500000</v>
      </c>
      <c r="I28" s="6">
        <v>782830</v>
      </c>
      <c r="J28" s="6">
        <v>150000</v>
      </c>
      <c r="K28" s="6">
        <v>0</v>
      </c>
    </row>
    <row r="29" spans="1:11" ht="30" x14ac:dyDescent="0.25">
      <c r="A29" s="5"/>
      <c r="B29" s="5" t="s">
        <v>16</v>
      </c>
      <c r="C29" s="5" t="s">
        <v>26</v>
      </c>
      <c r="D29" s="5"/>
      <c r="E29" s="5" t="s">
        <v>23</v>
      </c>
      <c r="F29" s="5" t="s">
        <v>19</v>
      </c>
      <c r="G29" s="6">
        <f t="shared" si="0"/>
        <v>2432830</v>
      </c>
      <c r="H29" s="6">
        <v>1500000</v>
      </c>
      <c r="I29" s="6">
        <v>782830</v>
      </c>
      <c r="J29" s="6">
        <v>150000</v>
      </c>
      <c r="K29" s="6">
        <v>0</v>
      </c>
    </row>
    <row r="30" spans="1:11" ht="30" x14ac:dyDescent="0.25">
      <c r="A30" s="5"/>
      <c r="B30" s="5" t="s">
        <v>16</v>
      </c>
      <c r="C30" s="5" t="s">
        <v>17</v>
      </c>
      <c r="D30" s="5"/>
      <c r="E30" s="5" t="s">
        <v>23</v>
      </c>
      <c r="F30" s="5" t="s">
        <v>19</v>
      </c>
      <c r="G30" s="6">
        <f t="shared" si="0"/>
        <v>585500</v>
      </c>
      <c r="H30" s="6">
        <v>0</v>
      </c>
      <c r="I30" s="6">
        <v>548000</v>
      </c>
      <c r="J30" s="6">
        <v>37500</v>
      </c>
      <c r="K30" s="6">
        <v>0</v>
      </c>
    </row>
    <row r="31" spans="1:11" ht="30" x14ac:dyDescent="0.25">
      <c r="A31" s="5"/>
      <c r="B31" s="5" t="s">
        <v>16</v>
      </c>
      <c r="C31" s="5" t="s">
        <v>26</v>
      </c>
      <c r="D31" s="5">
        <v>3</v>
      </c>
      <c r="E31" s="5" t="s">
        <v>18</v>
      </c>
      <c r="F31" s="5" t="s">
        <v>19</v>
      </c>
      <c r="G31" s="6">
        <f t="shared" si="0"/>
        <v>1918179</v>
      </c>
      <c r="H31" s="6">
        <v>1200000</v>
      </c>
      <c r="I31" s="6">
        <f>132375+473304</f>
        <v>605679</v>
      </c>
      <c r="J31" s="6">
        <v>112500</v>
      </c>
      <c r="K31" s="6">
        <v>0</v>
      </c>
    </row>
    <row r="32" spans="1:11" ht="30" x14ac:dyDescent="0.25">
      <c r="A32" s="5"/>
      <c r="B32" s="5" t="s">
        <v>16</v>
      </c>
      <c r="C32" s="5" t="s">
        <v>17</v>
      </c>
      <c r="D32" s="5">
        <v>2</v>
      </c>
      <c r="E32" s="5" t="s">
        <v>21</v>
      </c>
      <c r="F32" s="5" t="s">
        <v>19</v>
      </c>
      <c r="G32" s="6">
        <f t="shared" si="0"/>
        <v>1715000</v>
      </c>
      <c r="H32" s="6">
        <v>550000</v>
      </c>
      <c r="I32" s="6">
        <f>545000+545000</f>
        <v>1090000</v>
      </c>
      <c r="J32" s="6">
        <v>75000</v>
      </c>
      <c r="K32" s="6">
        <v>0</v>
      </c>
    </row>
    <row r="33" spans="1:11" ht="30" x14ac:dyDescent="0.25">
      <c r="A33" s="5">
        <v>1</v>
      </c>
      <c r="B33" s="5" t="s">
        <v>16</v>
      </c>
      <c r="C33" s="5" t="s">
        <v>31</v>
      </c>
      <c r="D33" s="5"/>
      <c r="E33" s="5" t="s">
        <v>21</v>
      </c>
      <c r="F33" s="5" t="s">
        <v>19</v>
      </c>
      <c r="G33" s="6">
        <f>+H33+I33+J33+K33</f>
        <v>4475851.45</v>
      </c>
      <c r="H33" s="6">
        <v>1200000</v>
      </c>
      <c r="I33" s="6">
        <f>1881288.45+1282063</f>
        <v>3163351.45</v>
      </c>
      <c r="J33" s="6">
        <v>112500</v>
      </c>
      <c r="K33" s="6">
        <v>0</v>
      </c>
    </row>
    <row r="34" spans="1:11" ht="30" x14ac:dyDescent="0.25">
      <c r="A34" s="5">
        <v>2</v>
      </c>
      <c r="B34" s="5" t="s">
        <v>16</v>
      </c>
      <c r="C34" s="5" t="s">
        <v>22</v>
      </c>
      <c r="D34" s="5">
        <v>3</v>
      </c>
      <c r="E34" s="5" t="s">
        <v>18</v>
      </c>
      <c r="F34" s="5" t="s">
        <v>19</v>
      </c>
      <c r="G34" s="6">
        <f>+H34+I34+J34+K34</f>
        <v>1627456</v>
      </c>
      <c r="H34" s="6">
        <v>1000000</v>
      </c>
      <c r="I34" s="6">
        <f>337581+177375</f>
        <v>514956</v>
      </c>
      <c r="J34" s="6">
        <v>112500</v>
      </c>
      <c r="K34" s="6">
        <v>0</v>
      </c>
    </row>
    <row r="35" spans="1:11" ht="30" x14ac:dyDescent="0.25">
      <c r="A35" s="5">
        <v>3</v>
      </c>
      <c r="B35" s="5" t="s">
        <v>16</v>
      </c>
      <c r="C35" s="5" t="s">
        <v>26</v>
      </c>
      <c r="D35" s="5">
        <v>3</v>
      </c>
      <c r="E35" s="5" t="s">
        <v>23</v>
      </c>
      <c r="F35" s="5" t="s">
        <v>19</v>
      </c>
      <c r="G35" s="6">
        <f t="shared" ref="G35:G59" si="1">+H35+I35+J35+K35</f>
        <v>2860606</v>
      </c>
      <c r="H35" s="6">
        <f>600000+600000</f>
        <v>1200000</v>
      </c>
      <c r="I35" s="6">
        <f>747116+27750+27750+745490</f>
        <v>1548106</v>
      </c>
      <c r="J35" s="6">
        <v>112500</v>
      </c>
      <c r="K35" s="6">
        <v>0</v>
      </c>
    </row>
    <row r="36" spans="1:11" ht="30" x14ac:dyDescent="0.25">
      <c r="A36" s="5">
        <v>4</v>
      </c>
      <c r="B36" s="5" t="s">
        <v>16</v>
      </c>
      <c r="C36" s="5" t="s">
        <v>26</v>
      </c>
      <c r="D36" s="5">
        <v>2</v>
      </c>
      <c r="E36" s="5" t="s">
        <v>27</v>
      </c>
      <c r="F36" s="5" t="s">
        <v>19</v>
      </c>
      <c r="G36" s="6">
        <f t="shared" si="1"/>
        <v>2113752</v>
      </c>
      <c r="H36" s="6">
        <v>0</v>
      </c>
      <c r="I36" s="6">
        <f>634874+26625+26625+1388128</f>
        <v>2076252</v>
      </c>
      <c r="J36" s="6">
        <v>37500</v>
      </c>
      <c r="K36" s="6">
        <v>0</v>
      </c>
    </row>
    <row r="37" spans="1:11" ht="30" x14ac:dyDescent="0.25">
      <c r="A37" s="5">
        <v>5</v>
      </c>
      <c r="B37" s="5" t="s">
        <v>16</v>
      </c>
      <c r="C37" s="5" t="s">
        <v>22</v>
      </c>
      <c r="D37" s="5">
        <v>3</v>
      </c>
      <c r="E37" s="5" t="s">
        <v>18</v>
      </c>
      <c r="F37" s="5" t="s">
        <v>19</v>
      </c>
      <c r="G37" s="6">
        <f t="shared" si="1"/>
        <v>2268797</v>
      </c>
      <c r="H37" s="6">
        <v>1000000</v>
      </c>
      <c r="I37" s="6">
        <f>351580+56625+748092</f>
        <v>1156297</v>
      </c>
      <c r="J37" s="6">
        <v>112500</v>
      </c>
      <c r="K37" s="6">
        <v>0</v>
      </c>
    </row>
    <row r="38" spans="1:11" ht="30" x14ac:dyDescent="0.25">
      <c r="A38" s="5">
        <v>6</v>
      </c>
      <c r="B38" s="5" t="s">
        <v>16</v>
      </c>
      <c r="C38" s="5" t="s">
        <v>26</v>
      </c>
      <c r="D38" s="5">
        <f>225000/37500</f>
        <v>6</v>
      </c>
      <c r="E38" s="5" t="s">
        <v>23</v>
      </c>
      <c r="F38" s="5" t="s">
        <v>19</v>
      </c>
      <c r="G38" s="6">
        <f t="shared" si="1"/>
        <v>3380976</v>
      </c>
      <c r="H38" s="6">
        <v>2500000</v>
      </c>
      <c r="I38" s="6">
        <f>502226+26250+127500</f>
        <v>655976</v>
      </c>
      <c r="J38" s="6">
        <v>225000</v>
      </c>
      <c r="K38" s="6">
        <v>0</v>
      </c>
    </row>
    <row r="39" spans="1:11" ht="30" x14ac:dyDescent="0.25">
      <c r="A39" s="5">
        <v>7</v>
      </c>
      <c r="B39" s="5" t="s">
        <v>16</v>
      </c>
      <c r="C39" s="5" t="s">
        <v>35</v>
      </c>
      <c r="D39" s="5">
        <v>2</v>
      </c>
      <c r="E39" s="5" t="s">
        <v>18</v>
      </c>
      <c r="F39" s="5" t="s">
        <v>19</v>
      </c>
      <c r="G39" s="6">
        <f t="shared" si="1"/>
        <v>705000</v>
      </c>
      <c r="H39" s="6">
        <v>480000</v>
      </c>
      <c r="I39" s="6">
        <f>75000*2</f>
        <v>150000</v>
      </c>
      <c r="J39" s="6">
        <v>75000</v>
      </c>
      <c r="K39" s="6">
        <v>0</v>
      </c>
    </row>
    <row r="40" spans="1:11" ht="30" x14ac:dyDescent="0.25">
      <c r="A40" s="5">
        <v>8</v>
      </c>
      <c r="B40" s="5" t="s">
        <v>16</v>
      </c>
      <c r="C40" s="5" t="s">
        <v>22</v>
      </c>
      <c r="D40" s="5">
        <v>4</v>
      </c>
      <c r="E40" s="5" t="s">
        <v>18</v>
      </c>
      <c r="F40" s="5" t="s">
        <v>19</v>
      </c>
      <c r="G40" s="6">
        <f t="shared" si="1"/>
        <v>2440056</v>
      </c>
      <c r="H40" s="6">
        <v>1600000</v>
      </c>
      <c r="I40" s="6">
        <f>418556+56625+177375</f>
        <v>652556</v>
      </c>
      <c r="J40" s="6">
        <v>187500</v>
      </c>
      <c r="K40" s="6">
        <v>0</v>
      </c>
    </row>
    <row r="41" spans="1:11" ht="30" x14ac:dyDescent="0.25">
      <c r="A41" s="5">
        <v>9</v>
      </c>
      <c r="B41" s="5" t="s">
        <v>16</v>
      </c>
      <c r="C41" s="5" t="s">
        <v>26</v>
      </c>
      <c r="D41" s="5">
        <v>1</v>
      </c>
      <c r="E41" s="5" t="s">
        <v>27</v>
      </c>
      <c r="F41" s="5" t="s">
        <v>19</v>
      </c>
      <c r="G41" s="6">
        <f t="shared" si="1"/>
        <v>1613667</v>
      </c>
      <c r="H41" s="6">
        <v>0</v>
      </c>
      <c r="I41" s="6">
        <f>1046304+27750+27750+474363</f>
        <v>1576167</v>
      </c>
      <c r="J41" s="6">
        <v>37500</v>
      </c>
      <c r="K41" s="6"/>
    </row>
    <row r="42" spans="1:11" ht="30" x14ac:dyDescent="0.25">
      <c r="A42" s="5">
        <v>10</v>
      </c>
      <c r="B42" s="5" t="s">
        <v>16</v>
      </c>
      <c r="C42" s="5" t="s">
        <v>29</v>
      </c>
      <c r="D42" s="5">
        <v>2</v>
      </c>
      <c r="E42" s="5" t="s">
        <v>18</v>
      </c>
      <c r="F42" s="5" t="s">
        <v>19</v>
      </c>
      <c r="G42" s="6">
        <f t="shared" si="1"/>
        <v>2023808.5</v>
      </c>
      <c r="H42" s="6">
        <v>650000</v>
      </c>
      <c r="I42" s="6">
        <f>223687.5+1075121</f>
        <v>1298808.5</v>
      </c>
      <c r="J42" s="6">
        <v>75000</v>
      </c>
      <c r="K42" s="6">
        <v>0</v>
      </c>
    </row>
    <row r="43" spans="1:11" ht="30" x14ac:dyDescent="0.25">
      <c r="A43" s="5">
        <v>11</v>
      </c>
      <c r="B43" s="5" t="s">
        <v>16</v>
      </c>
      <c r="C43" s="5" t="s">
        <v>26</v>
      </c>
      <c r="D43" s="5">
        <v>1</v>
      </c>
      <c r="E43" s="5" t="s">
        <v>18</v>
      </c>
      <c r="F43" s="5" t="s">
        <v>19</v>
      </c>
      <c r="G43" s="6">
        <f t="shared" si="1"/>
        <v>1588937</v>
      </c>
      <c r="H43" s="6">
        <v>0</v>
      </c>
      <c r="I43" s="6">
        <f>651009+56625+63750+780053</f>
        <v>1551437</v>
      </c>
      <c r="J43" s="6">
        <v>37500</v>
      </c>
      <c r="K43" s="6">
        <v>0</v>
      </c>
    </row>
    <row r="44" spans="1:11" ht="30" x14ac:dyDescent="0.25">
      <c r="A44" s="5">
        <v>12</v>
      </c>
      <c r="B44" s="5" t="s">
        <v>16</v>
      </c>
      <c r="C44" s="5" t="s">
        <v>26</v>
      </c>
      <c r="D44" s="5">
        <v>1</v>
      </c>
      <c r="E44" s="5" t="s">
        <v>21</v>
      </c>
      <c r="F44" s="5" t="s">
        <v>19</v>
      </c>
      <c r="G44" s="6">
        <f t="shared" si="1"/>
        <v>1483981.2</v>
      </c>
      <c r="H44" s="6">
        <v>0</v>
      </c>
      <c r="I44" s="6">
        <f>672459+774022.2</f>
        <v>1446481.2</v>
      </c>
      <c r="J44" s="6">
        <v>37500</v>
      </c>
      <c r="K44" s="6">
        <v>0</v>
      </c>
    </row>
    <row r="45" spans="1:11" ht="30" x14ac:dyDescent="0.25">
      <c r="A45" s="5">
        <v>13</v>
      </c>
      <c r="B45" s="5" t="s">
        <v>16</v>
      </c>
      <c r="C45" s="5" t="s">
        <v>26</v>
      </c>
      <c r="D45" s="5">
        <v>2</v>
      </c>
      <c r="E45" s="5" t="s">
        <v>18</v>
      </c>
      <c r="F45" s="5" t="s">
        <v>19</v>
      </c>
      <c r="G45" s="6">
        <f t="shared" si="1"/>
        <v>1411656</v>
      </c>
      <c r="H45" s="6">
        <v>600000</v>
      </c>
      <c r="I45" s="6">
        <f>326364+56625+56625+297042</f>
        <v>736656</v>
      </c>
      <c r="J45" s="6">
        <v>75000</v>
      </c>
      <c r="K45" s="6">
        <v>0</v>
      </c>
    </row>
    <row r="46" spans="1:11" ht="45" x14ac:dyDescent="0.25">
      <c r="A46" s="5">
        <v>14</v>
      </c>
      <c r="B46" s="5" t="s">
        <v>36</v>
      </c>
      <c r="C46" s="5" t="s">
        <v>28</v>
      </c>
      <c r="D46" s="5">
        <v>1</v>
      </c>
      <c r="E46" s="5" t="s">
        <v>27</v>
      </c>
      <c r="F46" s="5" t="s">
        <v>19</v>
      </c>
      <c r="G46" s="6">
        <f t="shared" si="1"/>
        <v>2366983</v>
      </c>
      <c r="H46" s="6">
        <v>0</v>
      </c>
      <c r="I46" s="6">
        <f>1059925+1269558</f>
        <v>2329483</v>
      </c>
      <c r="J46" s="6">
        <v>37500</v>
      </c>
      <c r="K46" s="6">
        <v>0</v>
      </c>
    </row>
    <row r="47" spans="1:11" ht="30" x14ac:dyDescent="0.25">
      <c r="A47" s="5">
        <v>15</v>
      </c>
      <c r="B47" s="5" t="s">
        <v>16</v>
      </c>
      <c r="C47" s="5" t="s">
        <v>33</v>
      </c>
      <c r="D47" s="5">
        <v>3</v>
      </c>
      <c r="E47" s="5" t="s">
        <v>23</v>
      </c>
      <c r="F47" s="5" t="s">
        <v>19</v>
      </c>
      <c r="G47" s="6">
        <f t="shared" si="1"/>
        <v>2884908</v>
      </c>
      <c r="H47" s="6">
        <v>1400000</v>
      </c>
      <c r="I47" s="6">
        <f>718676+653732</f>
        <v>1372408</v>
      </c>
      <c r="J47" s="6">
        <v>112500</v>
      </c>
      <c r="K47" s="6">
        <v>0</v>
      </c>
    </row>
    <row r="48" spans="1:11" ht="30" x14ac:dyDescent="0.25">
      <c r="A48" s="5">
        <v>16</v>
      </c>
      <c r="B48" s="5" t="s">
        <v>16</v>
      </c>
      <c r="C48" s="5" t="s">
        <v>22</v>
      </c>
      <c r="D48" s="5">
        <v>3</v>
      </c>
      <c r="E48" s="5" t="s">
        <v>18</v>
      </c>
      <c r="F48" s="5" t="s">
        <v>19</v>
      </c>
      <c r="G48" s="6">
        <f t="shared" si="1"/>
        <v>1959517</v>
      </c>
      <c r="H48" s="6">
        <v>1000000</v>
      </c>
      <c r="I48" s="6">
        <f>337767+56625+56625+396000</f>
        <v>847017</v>
      </c>
      <c r="J48" s="6">
        <v>112500</v>
      </c>
      <c r="K48" s="6">
        <v>0</v>
      </c>
    </row>
    <row r="49" spans="1:11" ht="30" x14ac:dyDescent="0.25">
      <c r="A49" s="5">
        <v>17</v>
      </c>
      <c r="B49" s="5" t="s">
        <v>16</v>
      </c>
      <c r="C49" s="5" t="s">
        <v>31</v>
      </c>
      <c r="D49" s="5">
        <v>2</v>
      </c>
      <c r="E49" s="5" t="s">
        <v>21</v>
      </c>
      <c r="F49" s="5" t="s">
        <v>19</v>
      </c>
      <c r="G49" s="6">
        <f t="shared" si="1"/>
        <v>3384347</v>
      </c>
      <c r="H49" s="6">
        <v>0</v>
      </c>
      <c r="I49" s="6">
        <f>1484489+1862358</f>
        <v>3346847</v>
      </c>
      <c r="J49" s="6">
        <v>37500</v>
      </c>
      <c r="K49" s="6">
        <v>0</v>
      </c>
    </row>
    <row r="50" spans="1:11" ht="30" x14ac:dyDescent="0.25">
      <c r="A50" s="5">
        <v>18</v>
      </c>
      <c r="B50" s="5" t="s">
        <v>16</v>
      </c>
      <c r="C50" s="5" t="s">
        <v>33</v>
      </c>
      <c r="D50" s="5">
        <v>4</v>
      </c>
      <c r="E50" s="5" t="s">
        <v>23</v>
      </c>
      <c r="F50" s="5" t="s">
        <v>19</v>
      </c>
      <c r="G50" s="6">
        <f t="shared" si="1"/>
        <v>2588154</v>
      </c>
      <c r="H50" s="6">
        <v>1500000</v>
      </c>
      <c r="I50" s="6">
        <f>810654+127500</f>
        <v>938154</v>
      </c>
      <c r="J50" s="6">
        <v>150000</v>
      </c>
      <c r="K50" s="6">
        <v>0</v>
      </c>
    </row>
    <row r="51" spans="1:11" ht="30" x14ac:dyDescent="0.25">
      <c r="A51" s="5">
        <v>19</v>
      </c>
      <c r="B51" s="5" t="s">
        <v>16</v>
      </c>
      <c r="C51" s="5" t="s">
        <v>37</v>
      </c>
      <c r="D51" s="5">
        <v>2</v>
      </c>
      <c r="E51" s="5" t="s">
        <v>21</v>
      </c>
      <c r="F51" s="5" t="s">
        <v>19</v>
      </c>
      <c r="G51" s="6">
        <f t="shared" si="1"/>
        <v>3168533</v>
      </c>
      <c r="H51" s="6">
        <f>700000+900000</f>
        <v>1600000</v>
      </c>
      <c r="I51" s="6">
        <f>718676+27750+26250+29625+653732</f>
        <v>1456033</v>
      </c>
      <c r="J51" s="6">
        <v>112500</v>
      </c>
      <c r="K51" s="6">
        <v>0</v>
      </c>
    </row>
    <row r="52" spans="1:11" ht="45" x14ac:dyDescent="0.25">
      <c r="A52" s="5">
        <v>20</v>
      </c>
      <c r="B52" s="5" t="s">
        <v>38</v>
      </c>
      <c r="C52" s="5" t="s">
        <v>17</v>
      </c>
      <c r="D52" s="5">
        <v>2</v>
      </c>
      <c r="E52" s="5" t="s">
        <v>27</v>
      </c>
      <c r="F52" s="5" t="s">
        <v>19</v>
      </c>
      <c r="G52" s="6">
        <f t="shared" si="1"/>
        <v>1367000</v>
      </c>
      <c r="H52" s="6">
        <v>500000</v>
      </c>
      <c r="I52" s="6">
        <f>396000+396000</f>
        <v>792000</v>
      </c>
      <c r="J52" s="6">
        <v>75000</v>
      </c>
      <c r="K52" s="6">
        <v>0</v>
      </c>
    </row>
    <row r="53" spans="1:11" ht="30" x14ac:dyDescent="0.25">
      <c r="A53" s="5">
        <v>21</v>
      </c>
      <c r="B53" s="5" t="s">
        <v>16</v>
      </c>
      <c r="C53" s="5" t="s">
        <v>28</v>
      </c>
      <c r="D53" s="5">
        <v>3</v>
      </c>
      <c r="E53" s="5" t="s">
        <v>23</v>
      </c>
      <c r="F53" s="5" t="s">
        <v>19</v>
      </c>
      <c r="G53" s="6">
        <f t="shared" si="1"/>
        <v>3628957</v>
      </c>
      <c r="H53" s="6">
        <v>1400000</v>
      </c>
      <c r="I53" s="6">
        <f>775548+1340909</f>
        <v>2116457</v>
      </c>
      <c r="J53" s="6">
        <v>112500</v>
      </c>
      <c r="K53" s="6">
        <v>0</v>
      </c>
    </row>
    <row r="54" spans="1:11" ht="30" x14ac:dyDescent="0.25">
      <c r="A54" s="5">
        <v>22</v>
      </c>
      <c r="B54" s="5" t="s">
        <v>16</v>
      </c>
      <c r="C54" s="5" t="s">
        <v>39</v>
      </c>
      <c r="D54" s="5">
        <v>3</v>
      </c>
      <c r="E54" s="5" t="s">
        <v>23</v>
      </c>
      <c r="F54" s="5" t="s">
        <v>19</v>
      </c>
      <c r="G54" s="6">
        <f t="shared" si="1"/>
        <v>2675954</v>
      </c>
      <c r="H54" s="6">
        <v>1100000</v>
      </c>
      <c r="I54" s="6">
        <f>712454+751000</f>
        <v>1463454</v>
      </c>
      <c r="J54" s="6">
        <v>112500</v>
      </c>
      <c r="K54" s="6">
        <v>0</v>
      </c>
    </row>
    <row r="55" spans="1:11" ht="30" x14ac:dyDescent="0.25">
      <c r="A55" s="5">
        <v>23</v>
      </c>
      <c r="B55" s="5" t="s">
        <v>40</v>
      </c>
      <c r="C55" s="5" t="s">
        <v>17</v>
      </c>
      <c r="D55" s="5">
        <v>2</v>
      </c>
      <c r="E55" s="5" t="s">
        <v>27</v>
      </c>
      <c r="F55" s="5" t="s">
        <v>19</v>
      </c>
      <c r="G55" s="6">
        <f t="shared" si="1"/>
        <v>1815000</v>
      </c>
      <c r="H55" s="6">
        <v>750000</v>
      </c>
      <c r="I55" s="6">
        <f>495000+495000</f>
        <v>990000</v>
      </c>
      <c r="J55" s="6">
        <v>75000</v>
      </c>
      <c r="K55" s="6">
        <v>0</v>
      </c>
    </row>
    <row r="56" spans="1:11" ht="30" x14ac:dyDescent="0.25">
      <c r="A56" s="5">
        <v>24</v>
      </c>
      <c r="B56" s="5" t="s">
        <v>41</v>
      </c>
      <c r="C56" s="5" t="s">
        <v>31</v>
      </c>
      <c r="D56" s="5">
        <v>5</v>
      </c>
      <c r="E56" s="5" t="s">
        <v>21</v>
      </c>
      <c r="F56" s="5" t="s">
        <v>19</v>
      </c>
      <c r="G56" s="6">
        <f t="shared" si="1"/>
        <v>4043232</v>
      </c>
      <c r="H56" s="6">
        <v>2400000</v>
      </c>
      <c r="I56" s="6">
        <f>712469+743263</f>
        <v>1455732</v>
      </c>
      <c r="J56" s="6">
        <v>187500</v>
      </c>
      <c r="K56" s="6">
        <v>0</v>
      </c>
    </row>
    <row r="57" spans="1:11" ht="30" x14ac:dyDescent="0.25">
      <c r="A57" s="5">
        <v>25</v>
      </c>
      <c r="B57" s="5" t="s">
        <v>41</v>
      </c>
      <c r="C57" s="5" t="s">
        <v>28</v>
      </c>
      <c r="D57" s="5">
        <v>3</v>
      </c>
      <c r="E57" s="5" t="s">
        <v>27</v>
      </c>
      <c r="F57" s="5" t="s">
        <v>19</v>
      </c>
      <c r="G57" s="6">
        <f t="shared" si="1"/>
        <v>3641485</v>
      </c>
      <c r="H57" s="6">
        <v>2250000</v>
      </c>
      <c r="I57" s="6">
        <f>684375+594610</f>
        <v>1278985</v>
      </c>
      <c r="J57" s="6">
        <v>112500</v>
      </c>
      <c r="K57" s="6">
        <v>0</v>
      </c>
    </row>
    <row r="58" spans="1:11" ht="30" x14ac:dyDescent="0.25">
      <c r="A58" s="5">
        <v>26</v>
      </c>
      <c r="B58" s="5" t="s">
        <v>42</v>
      </c>
      <c r="C58" s="5" t="s">
        <v>17</v>
      </c>
      <c r="D58" s="5">
        <v>1</v>
      </c>
      <c r="E58" s="5" t="s">
        <v>27</v>
      </c>
      <c r="F58" s="5" t="s">
        <v>19</v>
      </c>
      <c r="G58" s="6">
        <f t="shared" si="1"/>
        <v>1075087</v>
      </c>
      <c r="H58" s="6">
        <v>0</v>
      </c>
      <c r="I58" s="6">
        <f>495000+542587</f>
        <v>1037587</v>
      </c>
      <c r="J58" s="6">
        <v>37500</v>
      </c>
      <c r="K58" s="6">
        <v>0</v>
      </c>
    </row>
    <row r="59" spans="1:11" ht="45" x14ac:dyDescent="0.25">
      <c r="A59" s="5">
        <v>27</v>
      </c>
      <c r="B59" s="5" t="s">
        <v>43</v>
      </c>
      <c r="C59" s="5" t="s">
        <v>31</v>
      </c>
      <c r="D59" s="5">
        <v>1</v>
      </c>
      <c r="E59" s="5" t="s">
        <v>23</v>
      </c>
      <c r="F59" s="5" t="s">
        <v>19</v>
      </c>
      <c r="G59" s="6">
        <f t="shared" si="1"/>
        <v>1411151</v>
      </c>
      <c r="H59" s="6">
        <v>0</v>
      </c>
      <c r="I59" s="6">
        <f>640148+733503</f>
        <v>1373651</v>
      </c>
      <c r="J59" s="6">
        <v>37500</v>
      </c>
      <c r="K59" s="6">
        <v>0</v>
      </c>
    </row>
    <row r="60" spans="1:11" x14ac:dyDescent="0.25">
      <c r="A60" s="11" t="s">
        <v>44</v>
      </c>
      <c r="B60" s="11"/>
      <c r="C60" s="11"/>
      <c r="D60" s="11"/>
      <c r="E60" s="11"/>
      <c r="F60" s="11"/>
      <c r="G60" s="7">
        <f>SUM(G9:G59)</f>
        <v>124096316.15000001</v>
      </c>
      <c r="H60" s="7">
        <f t="shared" ref="H60:K60" si="2">SUM(H9:H59)</f>
        <v>56121000</v>
      </c>
      <c r="I60" s="7">
        <f t="shared" si="2"/>
        <v>63025316.150000006</v>
      </c>
      <c r="J60" s="7">
        <f t="shared" si="2"/>
        <v>4950000</v>
      </c>
      <c r="K60" s="7">
        <f t="shared" si="2"/>
        <v>0</v>
      </c>
    </row>
    <row r="61" spans="1:11" x14ac:dyDescent="0.25">
      <c r="A61" s="11" t="s">
        <v>45</v>
      </c>
      <c r="B61" s="11"/>
      <c r="C61" s="11"/>
      <c r="D61" s="11"/>
      <c r="E61" s="11"/>
      <c r="F61" s="11"/>
      <c r="G61" s="7">
        <f>+G60</f>
        <v>124096316.15000001</v>
      </c>
      <c r="H61" s="7">
        <f t="shared" ref="H61:K61" si="3">+H60</f>
        <v>56121000</v>
      </c>
      <c r="I61" s="7">
        <f t="shared" si="3"/>
        <v>63025316.150000006</v>
      </c>
      <c r="J61" s="7">
        <f t="shared" si="3"/>
        <v>4950000</v>
      </c>
      <c r="K61" s="7">
        <f t="shared" si="3"/>
        <v>0</v>
      </c>
    </row>
    <row r="63" spans="1:11" x14ac:dyDescent="0.25">
      <c r="A63" s="8"/>
    </row>
    <row r="64" spans="1:11" ht="49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ht="28.5" customHeight="1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ht="28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ht="28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ht="28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</sheetData>
  <autoFilter ref="A7:K61" xr:uid="{EF353960-2A7E-4E0B-B298-23B11628237F}"/>
  <mergeCells count="18">
    <mergeCell ref="A3:K3"/>
    <mergeCell ref="J4:K4"/>
    <mergeCell ref="A5:A6"/>
    <mergeCell ref="B5:B6"/>
    <mergeCell ref="C5:C6"/>
    <mergeCell ref="D5:D6"/>
    <mergeCell ref="E5:E6"/>
    <mergeCell ref="F5:F6"/>
    <mergeCell ref="G5:G6"/>
    <mergeCell ref="H5:K5"/>
    <mergeCell ref="A67:K67"/>
    <mergeCell ref="A68:K68"/>
    <mergeCell ref="A8:K8"/>
    <mergeCell ref="A60:F60"/>
    <mergeCell ref="A61:F61"/>
    <mergeCell ref="A64:K64"/>
    <mergeCell ref="A65:K65"/>
    <mergeCell ref="A66:K66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6-ИЛОВА</vt:lpstr>
      <vt:lpstr>'6-ИЛОВА'!Область_печати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cp:lastPrinted>2025-07-09T09:35:19Z</cp:lastPrinted>
  <dcterms:created xsi:type="dcterms:W3CDTF">2025-07-09T09:31:20Z</dcterms:created>
  <dcterms:modified xsi:type="dcterms:W3CDTF">2025-07-09T09:35:26Z</dcterms:modified>
</cp:coreProperties>
</file>