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bookViews>
    <workbookView xWindow="-120" yWindow="-120" windowWidth="29040" windowHeight="15990" activeTab="1"/>
  </bookViews>
  <sheets>
    <sheet name="ФАР" sheetId="1" r:id="rId1"/>
    <sheet name="МАР и МБРР" sheetId="2" r:id="rId2"/>
  </sheets>
  <definedNames>
    <definedName name="_xlnm._FilterDatabase" localSheetId="0" hidden="1">ФАР!$A$4:$BR$265</definedName>
    <definedName name="_xlnm.Print_Area" localSheetId="1">'МАР и МБРР'!$A$1:$M$190</definedName>
    <definedName name="_xlnm.Print_Area" localSheetId="0">ФАР!$A$1:$M$269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63" i="1" l="1"/>
  <c r="G263" i="1"/>
  <c r="H262" i="1"/>
  <c r="G262" i="1"/>
  <c r="I211" i="1"/>
  <c r="H210" i="1"/>
  <c r="G210" i="1"/>
  <c r="I108" i="1"/>
  <c r="H107" i="1"/>
  <c r="G107" i="1"/>
  <c r="F210" i="1" l="1"/>
  <c r="F262" i="1"/>
  <c r="F263" i="1"/>
  <c r="F107" i="1"/>
  <c r="I190" i="2" l="1"/>
  <c r="L185" i="2"/>
  <c r="H184" i="2"/>
  <c r="G184" i="2"/>
  <c r="H183" i="2"/>
  <c r="G183" i="2"/>
  <c r="F183" i="2" s="1"/>
  <c r="H182" i="2"/>
  <c r="G182" i="2"/>
  <c r="F182" i="2"/>
  <c r="H181" i="2"/>
  <c r="G181" i="2"/>
  <c r="H180" i="2"/>
  <c r="G180" i="2"/>
  <c r="H179" i="2"/>
  <c r="G179" i="2"/>
  <c r="H178" i="2"/>
  <c r="G178" i="2"/>
  <c r="H177" i="2"/>
  <c r="G177" i="2"/>
  <c r="H176" i="2"/>
  <c r="G176" i="2"/>
  <c r="H175" i="2"/>
  <c r="G175" i="2"/>
  <c r="H174" i="2"/>
  <c r="G174" i="2"/>
  <c r="I173" i="2"/>
  <c r="I185" i="2" s="1"/>
  <c r="F173" i="2"/>
  <c r="H172" i="2"/>
  <c r="G172" i="2"/>
  <c r="H171" i="2"/>
  <c r="G171" i="2"/>
  <c r="H170" i="2"/>
  <c r="G170" i="2"/>
  <c r="F170" i="2" s="1"/>
  <c r="H169" i="2"/>
  <c r="G169" i="2"/>
  <c r="H168" i="2"/>
  <c r="G168" i="2"/>
  <c r="H167" i="2"/>
  <c r="G167" i="2"/>
  <c r="F166" i="2"/>
  <c r="F165" i="2"/>
  <c r="F164" i="2"/>
  <c r="F163" i="2"/>
  <c r="F162" i="2"/>
  <c r="F161" i="2"/>
  <c r="F160" i="2"/>
  <c r="H159" i="2"/>
  <c r="G159" i="2"/>
  <c r="G158" i="2"/>
  <c r="L156" i="2"/>
  <c r="I156" i="2"/>
  <c r="H155" i="2"/>
  <c r="G155" i="2"/>
  <c r="H154" i="2"/>
  <c r="G154" i="2"/>
  <c r="H153" i="2"/>
  <c r="G153" i="2"/>
  <c r="H152" i="2"/>
  <c r="G152" i="2"/>
  <c r="H151" i="2"/>
  <c r="G151" i="2"/>
  <c r="H150" i="2"/>
  <c r="G150" i="2"/>
  <c r="H149" i="2"/>
  <c r="G149" i="2"/>
  <c r="H148" i="2"/>
  <c r="G148" i="2"/>
  <c r="F148" i="2" s="1"/>
  <c r="H147" i="2"/>
  <c r="G147" i="2"/>
  <c r="H146" i="2"/>
  <c r="G146" i="2"/>
  <c r="H145" i="2"/>
  <c r="G145" i="2"/>
  <c r="H144" i="2"/>
  <c r="G144" i="2"/>
  <c r="H143" i="2"/>
  <c r="G143" i="2"/>
  <c r="F143" i="2"/>
  <c r="H142" i="2"/>
  <c r="G142" i="2"/>
  <c r="H141" i="2"/>
  <c r="G141" i="2"/>
  <c r="H140" i="2"/>
  <c r="G140" i="2"/>
  <c r="H139" i="2"/>
  <c r="G139" i="2"/>
  <c r="H138" i="2"/>
  <c r="G138" i="2"/>
  <c r="F138" i="2" s="1"/>
  <c r="H137" i="2"/>
  <c r="G137" i="2"/>
  <c r="H136" i="2"/>
  <c r="G136" i="2"/>
  <c r="H135" i="2"/>
  <c r="G135" i="2"/>
  <c r="H134" i="2"/>
  <c r="G134" i="2"/>
  <c r="H133" i="2"/>
  <c r="G133" i="2"/>
  <c r="H132" i="2"/>
  <c r="G132" i="2"/>
  <c r="F132" i="2" s="1"/>
  <c r="H131" i="2"/>
  <c r="G131" i="2"/>
  <c r="H130" i="2"/>
  <c r="G130" i="2"/>
  <c r="H129" i="2"/>
  <c r="G129" i="2"/>
  <c r="H128" i="2"/>
  <c r="G128" i="2"/>
  <c r="H127" i="2"/>
  <c r="G127" i="2"/>
  <c r="H126" i="2"/>
  <c r="G126" i="2"/>
  <c r="H125" i="2"/>
  <c r="G125" i="2"/>
  <c r="H124" i="2"/>
  <c r="G124" i="2"/>
  <c r="H123" i="2"/>
  <c r="G123" i="2"/>
  <c r="H122" i="2"/>
  <c r="G122" i="2"/>
  <c r="H121" i="2"/>
  <c r="G121" i="2"/>
  <c r="H120" i="2"/>
  <c r="G120" i="2"/>
  <c r="H119" i="2"/>
  <c r="G119" i="2"/>
  <c r="F119" i="2" s="1"/>
  <c r="H118" i="2"/>
  <c r="G118" i="2"/>
  <c r="H117" i="2"/>
  <c r="G117" i="2"/>
  <c r="H116" i="2"/>
  <c r="G116" i="2"/>
  <c r="H115" i="2"/>
  <c r="G115" i="2"/>
  <c r="H114" i="2"/>
  <c r="G114" i="2"/>
  <c r="F114" i="2" s="1"/>
  <c r="H113" i="2"/>
  <c r="G113" i="2"/>
  <c r="H112" i="2"/>
  <c r="G112" i="2"/>
  <c r="H111" i="2"/>
  <c r="G111" i="2"/>
  <c r="H110" i="2"/>
  <c r="G110" i="2"/>
  <c r="H109" i="2"/>
  <c r="G109" i="2"/>
  <c r="H108" i="2"/>
  <c r="G108" i="2"/>
  <c r="H107" i="2"/>
  <c r="G107" i="2"/>
  <c r="H106" i="2"/>
  <c r="G106" i="2"/>
  <c r="H105" i="2"/>
  <c r="G105" i="2"/>
  <c r="H104" i="2"/>
  <c r="G104" i="2"/>
  <c r="H103" i="2"/>
  <c r="G103" i="2"/>
  <c r="H102" i="2"/>
  <c r="G102" i="2"/>
  <c r="H101" i="2"/>
  <c r="G101" i="2"/>
  <c r="H100" i="2"/>
  <c r="G100" i="2"/>
  <c r="G99" i="2"/>
  <c r="F99" i="2" s="1"/>
  <c r="G98" i="2"/>
  <c r="F98" i="2" s="1"/>
  <c r="G97" i="2"/>
  <c r="F97" i="2" s="1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H82" i="2"/>
  <c r="G82" i="2"/>
  <c r="H81" i="2"/>
  <c r="G81" i="2"/>
  <c r="H80" i="2"/>
  <c r="G80" i="2"/>
  <c r="F79" i="2"/>
  <c r="F78" i="2"/>
  <c r="F77" i="2"/>
  <c r="G76" i="2"/>
  <c r="L74" i="2"/>
  <c r="I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F63" i="2" s="1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F39" i="2" s="1"/>
  <c r="G38" i="2"/>
  <c r="F38" i="2" s="1"/>
  <c r="H37" i="2"/>
  <c r="G37" i="2"/>
  <c r="H36" i="2"/>
  <c r="G36" i="2"/>
  <c r="H35" i="2"/>
  <c r="G35" i="2"/>
  <c r="F35" i="2" s="1"/>
  <c r="H34" i="2"/>
  <c r="G34" i="2"/>
  <c r="H33" i="2"/>
  <c r="G33" i="2"/>
  <c r="H32" i="2"/>
  <c r="G32" i="2"/>
  <c r="G31" i="2"/>
  <c r="F31" i="2" s="1"/>
  <c r="G30" i="2"/>
  <c r="F30" i="2" s="1"/>
  <c r="G29" i="2"/>
  <c r="F29" i="2" s="1"/>
  <c r="G28" i="2"/>
  <c r="F28" i="2" s="1"/>
  <c r="H27" i="2"/>
  <c r="G27" i="2"/>
  <c r="G26" i="2"/>
  <c r="F26" i="2" s="1"/>
  <c r="G25" i="2"/>
  <c r="F25" i="2" s="1"/>
  <c r="G24" i="2"/>
  <c r="F24" i="2" s="1"/>
  <c r="G23" i="2"/>
  <c r="F23" i="2" s="1"/>
  <c r="G22" i="2"/>
  <c r="F22" i="2" s="1"/>
  <c r="G21" i="2"/>
  <c r="F21" i="2" s="1"/>
  <c r="G20" i="2"/>
  <c r="F20" i="2" s="1"/>
  <c r="G19" i="2"/>
  <c r="F19" i="2" s="1"/>
  <c r="G18" i="2"/>
  <c r="F18" i="2" s="1"/>
  <c r="G17" i="2"/>
  <c r="F17" i="2" s="1"/>
  <c r="G16" i="2"/>
  <c r="F16" i="2" s="1"/>
  <c r="G15" i="2"/>
  <c r="F15" i="2" s="1"/>
  <c r="G14" i="2"/>
  <c r="F14" i="2" s="1"/>
  <c r="G13" i="2"/>
  <c r="F13" i="2" s="1"/>
  <c r="G12" i="2"/>
  <c r="F12" i="2" s="1"/>
  <c r="G11" i="2"/>
  <c r="F11" i="2" s="1"/>
  <c r="G10" i="2"/>
  <c r="F10" i="2" s="1"/>
  <c r="G9" i="2"/>
  <c r="F9" i="2" s="1"/>
  <c r="G8" i="2"/>
  <c r="F8" i="2" s="1"/>
  <c r="G7" i="2"/>
  <c r="F7" i="2" s="1"/>
  <c r="G6" i="2"/>
  <c r="F6" i="2" s="1"/>
  <c r="G5" i="2"/>
  <c r="F5" i="2" s="1"/>
  <c r="G4" i="2"/>
  <c r="F4" i="2" s="1"/>
  <c r="G3" i="2"/>
  <c r="F139" i="2" l="1"/>
  <c r="F32" i="2"/>
  <c r="F104" i="2"/>
  <c r="F122" i="2"/>
  <c r="F141" i="2"/>
  <c r="F106" i="2"/>
  <c r="F54" i="2"/>
  <c r="F172" i="2"/>
  <c r="F178" i="2"/>
  <c r="F179" i="2"/>
  <c r="F68" i="2"/>
  <c r="F44" i="2"/>
  <c r="F58" i="2"/>
  <c r="F109" i="2"/>
  <c r="F53" i="2"/>
  <c r="F151" i="2"/>
  <c r="F123" i="2"/>
  <c r="F61" i="2"/>
  <c r="F73" i="2"/>
  <c r="F101" i="2"/>
  <c r="F82" i="2"/>
  <c r="F127" i="2"/>
  <c r="F117" i="2"/>
  <c r="F142" i="2"/>
  <c r="F147" i="2"/>
  <c r="F131" i="2"/>
  <c r="F65" i="2"/>
  <c r="F46" i="2"/>
  <c r="F69" i="2"/>
  <c r="F102" i="2"/>
  <c r="F169" i="2"/>
  <c r="F167" i="2"/>
  <c r="F56" i="2"/>
  <c r="F113" i="2"/>
  <c r="F152" i="2"/>
  <c r="F48" i="2"/>
  <c r="F37" i="2"/>
  <c r="F49" i="2"/>
  <c r="F62" i="2"/>
  <c r="F110" i="2"/>
  <c r="F42" i="2"/>
  <c r="F150" i="2"/>
  <c r="F34" i="2"/>
  <c r="F175" i="2"/>
  <c r="F129" i="2"/>
  <c r="F36" i="2"/>
  <c r="F118" i="2"/>
  <c r="F130" i="2"/>
  <c r="F134" i="2"/>
  <c r="F135" i="2"/>
  <c r="F55" i="2"/>
  <c r="F27" i="2"/>
  <c r="F45" i="2"/>
  <c r="F72" i="2"/>
  <c r="F105" i="2"/>
  <c r="F121" i="2"/>
  <c r="F126" i="2"/>
  <c r="F116" i="2"/>
  <c r="F136" i="2"/>
  <c r="F171" i="2"/>
  <c r="F112" i="2"/>
  <c r="F137" i="2"/>
  <c r="F177" i="2"/>
  <c r="F60" i="2"/>
  <c r="F70" i="2"/>
  <c r="F153" i="2"/>
  <c r="F159" i="2"/>
  <c r="F80" i="2"/>
  <c r="F50" i="2"/>
  <c r="F168" i="2"/>
  <c r="F66" i="2"/>
  <c r="F100" i="2"/>
  <c r="F125" i="2"/>
  <c r="F184" i="2"/>
  <c r="F47" i="2"/>
  <c r="I189" i="2"/>
  <c r="F52" i="2"/>
  <c r="F57" i="2"/>
  <c r="F120" i="2"/>
  <c r="F144" i="2"/>
  <c r="F155" i="2"/>
  <c r="F180" i="2"/>
  <c r="F71" i="2"/>
  <c r="F43" i="2"/>
  <c r="F108" i="2"/>
  <c r="L189" i="2"/>
  <c r="F67" i="2"/>
  <c r="F174" i="2"/>
  <c r="F40" i="2"/>
  <c r="F128" i="2"/>
  <c r="H185" i="2"/>
  <c r="F59" i="2"/>
  <c r="F64" i="2"/>
  <c r="F124" i="2"/>
  <c r="H74" i="2"/>
  <c r="F41" i="2"/>
  <c r="G156" i="2"/>
  <c r="F115" i="2"/>
  <c r="F133" i="2"/>
  <c r="F140" i="2"/>
  <c r="F149" i="2"/>
  <c r="G185" i="2"/>
  <c r="F176" i="2"/>
  <c r="F81" i="2"/>
  <c r="F111" i="2"/>
  <c r="F145" i="2"/>
  <c r="F154" i="2"/>
  <c r="H156" i="2"/>
  <c r="F103" i="2"/>
  <c r="F51" i="2"/>
  <c r="F107" i="2"/>
  <c r="F146" i="2"/>
  <c r="F181" i="2"/>
  <c r="F33" i="2"/>
  <c r="G74" i="2"/>
  <c r="G75" i="2" l="1"/>
  <c r="G157" i="2"/>
  <c r="G186" i="2"/>
  <c r="F185" i="2"/>
  <c r="F156" i="2"/>
  <c r="F74" i="2"/>
  <c r="G189" i="2"/>
  <c r="G190" i="2" l="1"/>
  <c r="H261" i="1"/>
  <c r="G261" i="1"/>
  <c r="H260" i="1"/>
  <c r="G260" i="1"/>
  <c r="H259" i="1"/>
  <c r="G259" i="1"/>
  <c r="H258" i="1"/>
  <c r="G258" i="1"/>
  <c r="H257" i="1"/>
  <c r="G257" i="1"/>
  <c r="H256" i="1"/>
  <c r="G256" i="1"/>
  <c r="H255" i="1"/>
  <c r="G255" i="1"/>
  <c r="H254" i="1"/>
  <c r="G254" i="1"/>
  <c r="H253" i="1"/>
  <c r="G253" i="1"/>
  <c r="H252" i="1"/>
  <c r="G252" i="1"/>
  <c r="H251" i="1"/>
  <c r="G251" i="1"/>
  <c r="H250" i="1"/>
  <c r="G250" i="1"/>
  <c r="H249" i="1"/>
  <c r="G249" i="1"/>
  <c r="F249" i="1" s="1"/>
  <c r="I248" i="1"/>
  <c r="I264" i="1" s="1"/>
  <c r="H248" i="1"/>
  <c r="G248" i="1"/>
  <c r="H247" i="1"/>
  <c r="G247" i="1"/>
  <c r="H246" i="1"/>
  <c r="G246" i="1"/>
  <c r="H245" i="1"/>
  <c r="G245" i="1"/>
  <c r="G244" i="1"/>
  <c r="G243" i="1"/>
  <c r="H242" i="1"/>
  <c r="G242" i="1"/>
  <c r="G241" i="1"/>
  <c r="F241" i="1" s="1"/>
  <c r="G240" i="1"/>
  <c r="F240" i="1" s="1"/>
  <c r="G239" i="1"/>
  <c r="G238" i="1"/>
  <c r="F238" i="1" s="1"/>
  <c r="G237" i="1"/>
  <c r="G236" i="1"/>
  <c r="G235" i="1"/>
  <c r="G234" i="1"/>
  <c r="G233" i="1"/>
  <c r="G232" i="1"/>
  <c r="G231" i="1"/>
  <c r="G230" i="1"/>
  <c r="F230" i="1" s="1"/>
  <c r="G229" i="1"/>
  <c r="H228" i="1"/>
  <c r="G228" i="1"/>
  <c r="H227" i="1"/>
  <c r="G227" i="1"/>
  <c r="H226" i="1"/>
  <c r="G226" i="1"/>
  <c r="H225" i="1"/>
  <c r="G225" i="1"/>
  <c r="G224" i="1"/>
  <c r="H223" i="1"/>
  <c r="G223" i="1"/>
  <c r="H222" i="1"/>
  <c r="G222" i="1"/>
  <c r="H221" i="1"/>
  <c r="G221" i="1"/>
  <c r="H220" i="1"/>
  <c r="G220" i="1"/>
  <c r="H219" i="1"/>
  <c r="G219" i="1"/>
  <c r="H218" i="1"/>
  <c r="G218" i="1"/>
  <c r="H217" i="1"/>
  <c r="G217" i="1"/>
  <c r="G216" i="1"/>
  <c r="H215" i="1"/>
  <c r="G215" i="1"/>
  <c r="G214" i="1"/>
  <c r="I213" i="1"/>
  <c r="G213" i="1"/>
  <c r="H209" i="1"/>
  <c r="G209" i="1"/>
  <c r="H208" i="1"/>
  <c r="G208" i="1"/>
  <c r="H207" i="1"/>
  <c r="G207" i="1"/>
  <c r="H206" i="1"/>
  <c r="G206" i="1"/>
  <c r="H205" i="1"/>
  <c r="G205" i="1"/>
  <c r="H204" i="1"/>
  <c r="G204" i="1"/>
  <c r="H203" i="1"/>
  <c r="G203" i="1"/>
  <c r="H202" i="1"/>
  <c r="G202" i="1"/>
  <c r="H201" i="1"/>
  <c r="G201" i="1"/>
  <c r="H200" i="1"/>
  <c r="G200" i="1"/>
  <c r="H199" i="1"/>
  <c r="G199" i="1"/>
  <c r="H198" i="1"/>
  <c r="G198" i="1"/>
  <c r="G197" i="1"/>
  <c r="F197" i="1" s="1"/>
  <c r="H196" i="1"/>
  <c r="G196" i="1"/>
  <c r="H195" i="1"/>
  <c r="G195" i="1"/>
  <c r="H194" i="1"/>
  <c r="G194" i="1"/>
  <c r="H193" i="1"/>
  <c r="G193" i="1"/>
  <c r="H192" i="1"/>
  <c r="G192" i="1"/>
  <c r="H191" i="1"/>
  <c r="G191" i="1"/>
  <c r="H190" i="1"/>
  <c r="G190" i="1"/>
  <c r="G189" i="1"/>
  <c r="H188" i="1"/>
  <c r="G188" i="1"/>
  <c r="H187" i="1"/>
  <c r="G187" i="1"/>
  <c r="H186" i="1"/>
  <c r="G186" i="1"/>
  <c r="H185" i="1"/>
  <c r="G185" i="1"/>
  <c r="H184" i="1"/>
  <c r="G184" i="1"/>
  <c r="G183" i="1"/>
  <c r="G182" i="1"/>
  <c r="I181" i="1"/>
  <c r="G181" i="1"/>
  <c r="I179" i="1"/>
  <c r="H178" i="1"/>
  <c r="G178" i="1"/>
  <c r="H177" i="1"/>
  <c r="G177" i="1"/>
  <c r="H176" i="1"/>
  <c r="G176" i="1"/>
  <c r="H175" i="1"/>
  <c r="G175" i="1"/>
  <c r="H174" i="1"/>
  <c r="G174" i="1"/>
  <c r="H173" i="1"/>
  <c r="G173" i="1"/>
  <c r="H172" i="1"/>
  <c r="G172" i="1"/>
  <c r="H171" i="1"/>
  <c r="G171" i="1"/>
  <c r="H170" i="1"/>
  <c r="G170" i="1"/>
  <c r="H169" i="1"/>
  <c r="G169" i="1"/>
  <c r="H168" i="1"/>
  <c r="G168" i="1"/>
  <c r="H167" i="1"/>
  <c r="G167" i="1"/>
  <c r="H166" i="1"/>
  <c r="G166" i="1"/>
  <c r="H165" i="1"/>
  <c r="G165" i="1"/>
  <c r="H164" i="1"/>
  <c r="G164" i="1"/>
  <c r="H163" i="1"/>
  <c r="G163" i="1"/>
  <c r="H162" i="1"/>
  <c r="G162" i="1"/>
  <c r="H161" i="1"/>
  <c r="G161" i="1"/>
  <c r="H160" i="1"/>
  <c r="G160" i="1"/>
  <c r="H159" i="1"/>
  <c r="G159" i="1"/>
  <c r="H158" i="1"/>
  <c r="G158" i="1"/>
  <c r="H157" i="1"/>
  <c r="G157" i="1"/>
  <c r="H156" i="1"/>
  <c r="G156" i="1"/>
  <c r="H155" i="1"/>
  <c r="G155" i="1"/>
  <c r="H154" i="1"/>
  <c r="G154" i="1"/>
  <c r="H153" i="1"/>
  <c r="G153" i="1"/>
  <c r="G152" i="1"/>
  <c r="G151" i="1"/>
  <c r="G150" i="1"/>
  <c r="F150" i="1" s="1"/>
  <c r="G149" i="1"/>
  <c r="H148" i="1"/>
  <c r="G148" i="1"/>
  <c r="G147" i="1"/>
  <c r="G146" i="1"/>
  <c r="G145" i="1"/>
  <c r="G144" i="1"/>
  <c r="G143" i="1"/>
  <c r="F143" i="1" s="1"/>
  <c r="G142" i="1"/>
  <c r="F142" i="1" s="1"/>
  <c r="G141" i="1"/>
  <c r="F141" i="1" s="1"/>
  <c r="G140" i="1"/>
  <c r="F140" i="1" s="1"/>
  <c r="G139" i="1"/>
  <c r="G138" i="1"/>
  <c r="G137" i="1"/>
  <c r="H136" i="1"/>
  <c r="G136" i="1"/>
  <c r="G135" i="1"/>
  <c r="H134" i="1"/>
  <c r="G134" i="1"/>
  <c r="H133" i="1"/>
  <c r="G133" i="1"/>
  <c r="H132" i="1"/>
  <c r="G132" i="1"/>
  <c r="H131" i="1"/>
  <c r="G131" i="1"/>
  <c r="H130" i="1"/>
  <c r="G130" i="1"/>
  <c r="H129" i="1"/>
  <c r="G129" i="1"/>
  <c r="H128" i="1"/>
  <c r="G128" i="1"/>
  <c r="H127" i="1"/>
  <c r="G127" i="1"/>
  <c r="G126" i="1"/>
  <c r="F126" i="1" s="1"/>
  <c r="H125" i="1"/>
  <c r="G125" i="1"/>
  <c r="H124" i="1"/>
  <c r="G124" i="1"/>
  <c r="H123" i="1"/>
  <c r="G123" i="1"/>
  <c r="G122" i="1"/>
  <c r="G121" i="1"/>
  <c r="G120" i="1"/>
  <c r="G119" i="1"/>
  <c r="F119" i="1" s="1"/>
  <c r="G118" i="1"/>
  <c r="F118" i="1" s="1"/>
  <c r="G117" i="1"/>
  <c r="G116" i="1"/>
  <c r="F116" i="1" s="1"/>
  <c r="G115" i="1"/>
  <c r="G114" i="1"/>
  <c r="F114" i="1" s="1"/>
  <c r="G113" i="1"/>
  <c r="H112" i="1"/>
  <c r="G112" i="1"/>
  <c r="G111" i="1"/>
  <c r="F111" i="1" s="1"/>
  <c r="I110" i="1"/>
  <c r="G110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G84" i="1"/>
  <c r="G83" i="1"/>
  <c r="G82" i="1"/>
  <c r="F82" i="1" s="1"/>
  <c r="G81" i="1"/>
  <c r="G80" i="1"/>
  <c r="F80" i="1" s="1"/>
  <c r="G79" i="1"/>
  <c r="G78" i="1"/>
  <c r="G77" i="1"/>
  <c r="F77" i="1" s="1"/>
  <c r="G76" i="1"/>
  <c r="G75" i="1"/>
  <c r="F75" i="1" s="1"/>
  <c r="H74" i="1"/>
  <c r="G74" i="1"/>
  <c r="H73" i="1"/>
  <c r="G73" i="1"/>
  <c r="G72" i="1"/>
  <c r="F72" i="1" s="1"/>
  <c r="G71" i="1"/>
  <c r="F71" i="1" s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G27" i="1"/>
  <c r="F27" i="1" s="1"/>
  <c r="H26" i="1"/>
  <c r="G26" i="1"/>
  <c r="H25" i="1"/>
  <c r="G25" i="1"/>
  <c r="G24" i="1"/>
  <c r="G23" i="1"/>
  <c r="G22" i="1"/>
  <c r="G21" i="1"/>
  <c r="F21" i="1" s="1"/>
  <c r="G20" i="1"/>
  <c r="G19" i="1"/>
  <c r="F19" i="1" s="1"/>
  <c r="G18" i="1"/>
  <c r="G17" i="1"/>
  <c r="G16" i="1"/>
  <c r="G15" i="1"/>
  <c r="F15" i="1" s="1"/>
  <c r="G14" i="1"/>
  <c r="G13" i="1"/>
  <c r="F13" i="1" s="1"/>
  <c r="G12" i="1"/>
  <c r="G11" i="1"/>
  <c r="F11" i="1" s="1"/>
  <c r="G10" i="1"/>
  <c r="F10" i="1" s="1"/>
  <c r="H9" i="1"/>
  <c r="G9" i="1"/>
  <c r="G8" i="1"/>
  <c r="F8" i="1" s="1"/>
  <c r="G7" i="1"/>
  <c r="F7" i="1" s="1"/>
  <c r="G6" i="1"/>
  <c r="G5" i="1"/>
  <c r="F5" i="1" s="1"/>
  <c r="G4" i="1"/>
  <c r="I3" i="1"/>
  <c r="G3" i="1"/>
  <c r="G108" i="1" l="1"/>
  <c r="F33" i="1"/>
  <c r="F39" i="1"/>
  <c r="L264" i="1"/>
  <c r="L211" i="1"/>
  <c r="F172" i="1"/>
  <c r="F178" i="1"/>
  <c r="F44" i="1"/>
  <c r="F214" i="1"/>
  <c r="G264" i="1"/>
  <c r="H264" i="1"/>
  <c r="H211" i="1"/>
  <c r="G211" i="1"/>
  <c r="H108" i="1"/>
  <c r="L108" i="1"/>
  <c r="F191" i="1"/>
  <c r="F35" i="1"/>
  <c r="F67" i="1"/>
  <c r="F196" i="1"/>
  <c r="F61" i="1"/>
  <c r="F154" i="1"/>
  <c r="F45" i="1"/>
  <c r="F103" i="1"/>
  <c r="F259" i="1"/>
  <c r="F164" i="1"/>
  <c r="F223" i="1"/>
  <c r="F62" i="1"/>
  <c r="F30" i="1"/>
  <c r="F146" i="1"/>
  <c r="F124" i="1"/>
  <c r="F222" i="1"/>
  <c r="F49" i="1"/>
  <c r="F54" i="1"/>
  <c r="F85" i="1"/>
  <c r="F176" i="1"/>
  <c r="F245" i="1"/>
  <c r="F256" i="1"/>
  <c r="F57" i="1"/>
  <c r="F63" i="1"/>
  <c r="F79" i="1"/>
  <c r="F161" i="1"/>
  <c r="F207" i="1"/>
  <c r="F228" i="1"/>
  <c r="F81" i="1"/>
  <c r="F163" i="1"/>
  <c r="F168" i="1"/>
  <c r="F225" i="1"/>
  <c r="F229" i="1"/>
  <c r="F235" i="1"/>
  <c r="F260" i="1"/>
  <c r="F20" i="1"/>
  <c r="F159" i="1"/>
  <c r="F182" i="1"/>
  <c r="F218" i="1"/>
  <c r="F231" i="1"/>
  <c r="F255" i="1"/>
  <c r="F242" i="1"/>
  <c r="F112" i="1"/>
  <c r="F31" i="1"/>
  <c r="F46" i="1"/>
  <c r="F66" i="1"/>
  <c r="I212" i="1"/>
  <c r="F187" i="1"/>
  <c r="F215" i="1"/>
  <c r="F74" i="1"/>
  <c r="F69" i="1"/>
  <c r="F99" i="1"/>
  <c r="I265" i="1"/>
  <c r="F4" i="1"/>
  <c r="F18" i="1"/>
  <c r="F36" i="1"/>
  <c r="F42" i="1"/>
  <c r="F90" i="1"/>
  <c r="F117" i="1"/>
  <c r="F209" i="1"/>
  <c r="F233" i="1"/>
  <c r="F239" i="1"/>
  <c r="F250" i="1"/>
  <c r="F151" i="1"/>
  <c r="F162" i="1"/>
  <c r="F193" i="1"/>
  <c r="F204" i="1"/>
  <c r="F14" i="1"/>
  <c r="F23" i="1"/>
  <c r="F113" i="1"/>
  <c r="F167" i="1"/>
  <c r="F189" i="1"/>
  <c r="F234" i="1"/>
  <c r="F261" i="1"/>
  <c r="F156" i="1"/>
  <c r="F174" i="1"/>
  <c r="F50" i="1"/>
  <c r="F97" i="1"/>
  <c r="F68" i="1"/>
  <c r="F65" i="1"/>
  <c r="F83" i="1"/>
  <c r="F135" i="1"/>
  <c r="F165" i="1"/>
  <c r="F185" i="1"/>
  <c r="F216" i="1"/>
  <c r="F227" i="1"/>
  <c r="F123" i="1"/>
  <c r="I268" i="1"/>
  <c r="F155" i="1"/>
  <c r="F48" i="1"/>
  <c r="F70" i="1"/>
  <c r="F84" i="1"/>
  <c r="F136" i="1"/>
  <c r="F144" i="1"/>
  <c r="F149" i="1"/>
  <c r="F157" i="1"/>
  <c r="F221" i="1"/>
  <c r="F232" i="1"/>
  <c r="F166" i="1"/>
  <c r="F175" i="1"/>
  <c r="F73" i="1"/>
  <c r="F94" i="1"/>
  <c r="I109" i="1"/>
  <c r="F198" i="1"/>
  <c r="F40" i="1"/>
  <c r="F58" i="1"/>
  <c r="F203" i="1"/>
  <c r="F9" i="1"/>
  <c r="F12" i="1"/>
  <c r="F32" i="1"/>
  <c r="F87" i="1"/>
  <c r="F91" i="1"/>
  <c r="F127" i="1"/>
  <c r="F132" i="1"/>
  <c r="F244" i="1"/>
  <c r="F252" i="1"/>
  <c r="F130" i="1"/>
  <c r="F258" i="1"/>
  <c r="F170" i="1"/>
  <c r="F217" i="1"/>
  <c r="F93" i="1"/>
  <c r="F219" i="1"/>
  <c r="F29" i="1"/>
  <c r="F88" i="1"/>
  <c r="F246" i="1"/>
  <c r="F152" i="1"/>
  <c r="F6" i="1"/>
  <c r="F148" i="1"/>
  <c r="F37" i="1"/>
  <c r="F106" i="1"/>
  <c r="F47" i="1"/>
  <c r="F52" i="1"/>
  <c r="F76" i="1"/>
  <c r="F122" i="1"/>
  <c r="F129" i="1"/>
  <c r="F184" i="1"/>
  <c r="F201" i="1"/>
  <c r="F224" i="1"/>
  <c r="F257" i="1"/>
  <c r="F104" i="1"/>
  <c r="F188" i="1"/>
  <c r="F51" i="1"/>
  <c r="F92" i="1"/>
  <c r="F96" i="1"/>
  <c r="I180" i="1"/>
  <c r="G267" i="1"/>
  <c r="F200" i="1"/>
  <c r="F28" i="1"/>
  <c r="F56" i="1"/>
  <c r="F86" i="1"/>
  <c r="F101" i="1"/>
  <c r="F134" i="1"/>
  <c r="F177" i="1"/>
  <c r="F254" i="1"/>
  <c r="F190" i="1"/>
  <c r="F206" i="1"/>
  <c r="F43" i="1"/>
  <c r="F128" i="1"/>
  <c r="F147" i="1"/>
  <c r="F173" i="1"/>
  <c r="F26" i="1"/>
  <c r="F100" i="1"/>
  <c r="F24" i="1"/>
  <c r="F55" i="1"/>
  <c r="F194" i="1"/>
  <c r="F205" i="1"/>
  <c r="F25" i="1"/>
  <c r="F64" i="1"/>
  <c r="F78" i="1"/>
  <c r="F125" i="1"/>
  <c r="F195" i="1"/>
  <c r="F220" i="1"/>
  <c r="F226" i="1"/>
  <c r="F247" i="1"/>
  <c r="F133" i="1"/>
  <c r="F38" i="1"/>
  <c r="F208" i="1"/>
  <c r="G179" i="1"/>
  <c r="L179" i="1"/>
  <c r="F199" i="1"/>
  <c r="F160" i="1"/>
  <c r="H179" i="1"/>
  <c r="F202" i="1"/>
  <c r="I267" i="1"/>
  <c r="F34" i="1"/>
  <c r="F59" i="1"/>
  <c r="F89" i="1"/>
  <c r="F120" i="1"/>
  <c r="F169" i="1"/>
  <c r="F186" i="1"/>
  <c r="F236" i="1"/>
  <c r="F16" i="1"/>
  <c r="F95" i="1"/>
  <c r="F102" i="1"/>
  <c r="F105" i="1"/>
  <c r="F115" i="1"/>
  <c r="F183" i="1"/>
  <c r="F237" i="1"/>
  <c r="F248" i="1"/>
  <c r="F253" i="1"/>
  <c r="F17" i="1"/>
  <c r="F22" i="1"/>
  <c r="F41" i="1"/>
  <c r="F53" i="1"/>
  <c r="F60" i="1"/>
  <c r="F98" i="1"/>
  <c r="F121" i="1"/>
  <c r="F131" i="1"/>
  <c r="F145" i="1"/>
  <c r="F153" i="1"/>
  <c r="F158" i="1"/>
  <c r="F171" i="1"/>
  <c r="F192" i="1"/>
  <c r="F243" i="1"/>
  <c r="F251" i="1"/>
  <c r="F211" i="1" l="1"/>
  <c r="F108" i="1"/>
  <c r="F264" i="1"/>
  <c r="G180" i="1"/>
  <c r="G265" i="1"/>
  <c r="G212" i="1"/>
  <c r="I269" i="1"/>
  <c r="F179" i="1"/>
  <c r="L268" i="1"/>
  <c r="G109" i="1"/>
  <c r="G268" i="1"/>
  <c r="G269" i="1" l="1"/>
</calcChain>
</file>

<file path=xl/comments1.xml><?xml version="1.0" encoding="utf-8"?>
<comments xmlns="http://schemas.openxmlformats.org/spreadsheetml/2006/main">
  <authors>
    <author>Пользователь</author>
  </authors>
  <commentList>
    <comment ref="G51" authorId="0" shape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299,0 млн.с., 60,0 млн.с., 145,0 млн.с., 198,5 млн.с. - клим.</t>
        </r>
      </text>
    </comment>
  </commentList>
</comments>
</file>

<file path=xl/sharedStrings.xml><?xml version="1.0" encoding="utf-8"?>
<sst xmlns="http://schemas.openxmlformats.org/spreadsheetml/2006/main" count="2478" uniqueCount="1384">
  <si>
    <t>№</t>
  </si>
  <si>
    <t>Инициатор проекта</t>
  </si>
  <si>
    <t>Регион</t>
  </si>
  <si>
    <t>Район</t>
  </si>
  <si>
    <t>Общая сумма проекта 
(тыс. Евро)</t>
  </si>
  <si>
    <t>Сумма кредита 
(тыс. Евро)</t>
  </si>
  <si>
    <t>Вклад бенефициара
(тыс. Евро)</t>
  </si>
  <si>
    <t>Сумма кредита 
(млн.сум)</t>
  </si>
  <si>
    <t>Направление проекта (цель проекта)</t>
  </si>
  <si>
    <t>Направление проекта</t>
  </si>
  <si>
    <t>Новые рабочие места
(по заявке УФО)</t>
  </si>
  <si>
    <t>ИНН</t>
  </si>
  <si>
    <t>АК "Халкбанк"</t>
  </si>
  <si>
    <t>ФХ "Arjumandbonu Chorvosi"</t>
  </si>
  <si>
    <t>Бухарская область</t>
  </si>
  <si>
    <t>Жондорский район</t>
  </si>
  <si>
    <t>птицеводство</t>
  </si>
  <si>
    <t>Приобретение оборудования "Chicken House Equipment" по выращиванию куриц - 8 ед.</t>
  </si>
  <si>
    <t>304520394</t>
  </si>
  <si>
    <t>ФХ "Давлат Бобо"</t>
  </si>
  <si>
    <t>Кашкадарьинская область</t>
  </si>
  <si>
    <t>Китабский район</t>
  </si>
  <si>
    <t>животноводство</t>
  </si>
  <si>
    <t>Приобретение телок коров породы "Браун" - 32 голов.</t>
  </si>
  <si>
    <t>201840753</t>
  </si>
  <si>
    <t>ФХ "Milk Grand Agro"</t>
  </si>
  <si>
    <t>Ташкентская область</t>
  </si>
  <si>
    <t>Букинский район</t>
  </si>
  <si>
    <t>сельхозтехника</t>
  </si>
  <si>
    <t>Приобретение с.х.техники марки "Беларусь 82.1" - 1 ед.</t>
  </si>
  <si>
    <t>304587611</t>
  </si>
  <si>
    <t>ФХ "Migitepa Zamini"</t>
  </si>
  <si>
    <t>Самаркандская область</t>
  </si>
  <si>
    <t>Булунгурский район</t>
  </si>
  <si>
    <t>Приобретение телок коров породы "Красный Эстон" 33 голов.</t>
  </si>
  <si>
    <t>ФХ "Qushquduq Nurobod Chorvasi"</t>
  </si>
  <si>
    <t>Нурабадский район</t>
  </si>
  <si>
    <t>Приобретение МРС "Араша зот" - 4000 голов.</t>
  </si>
  <si>
    <t>303972767</t>
  </si>
  <si>
    <t>ООО "Lazizbek Mega Jujalar"</t>
  </si>
  <si>
    <t>Чиракчинский район</t>
  </si>
  <si>
    <t>Приобретение 170 тыс.голов бройлерских цыплонок и
1 компл. вентиляционное и холодильное оборудования для птицеводство</t>
  </si>
  <si>
    <t>309704366</t>
  </si>
  <si>
    <t>ООО "Iceberg Parranda"</t>
  </si>
  <si>
    <t>Пахтачинский район</t>
  </si>
  <si>
    <t>Приобретение кур (“Ломан Браун”) - 10870 голов.</t>
  </si>
  <si>
    <t>302801575</t>
  </si>
  <si>
    <t>ФХ "Salamat Shaura"</t>
  </si>
  <si>
    <t>Республика Каракалпакстан</t>
  </si>
  <si>
    <t>Чимбайский район</t>
  </si>
  <si>
    <t>строительство</t>
  </si>
  <si>
    <t>реконструкция животноводческой фермы - 1 комплекс</t>
  </si>
  <si>
    <t>305098530</t>
  </si>
  <si>
    <t>ООО "Chorvanasl"</t>
  </si>
  <si>
    <t>г. Бухара</t>
  </si>
  <si>
    <t>Приобретение породистых КРС - 80 голов.</t>
  </si>
  <si>
    <t>201108640</t>
  </si>
  <si>
    <t>ООО "Fayz Chicken Broyler"</t>
  </si>
  <si>
    <t>Приобретение оборудования "Chicken House Equipment" по выращиванию куриц - 7 ед.</t>
  </si>
  <si>
    <t>309589874</t>
  </si>
  <si>
    <t>ФХ "Orifjon Mustafoqulov chorvasi"</t>
  </si>
  <si>
    <t>303823057</t>
  </si>
  <si>
    <t>ФХ "Gansher Ruslan Sarbon"</t>
  </si>
  <si>
    <t>Миришкорский район</t>
  </si>
  <si>
    <t>Приобретение КРС (породы "Голштин") - 33 голов.</t>
  </si>
  <si>
    <t>ФХ "Farodis Xirmoni"</t>
  </si>
  <si>
    <t>Юкоричирчикский район</t>
  </si>
  <si>
    <t>Приобретение КРС (породы "Голштин") - 99 голов.</t>
  </si>
  <si>
    <t>ООО "Jizzax Agro invest chorva"</t>
  </si>
  <si>
    <t>Джиззакская область</t>
  </si>
  <si>
    <t>Шароф Рашидовский район</t>
  </si>
  <si>
    <t>Приобретение с.х.техники марки "Беларусь 82.1" и Беларусь 80.Х - 2 ед.</t>
  </si>
  <si>
    <t>309486228</t>
  </si>
  <si>
    <t>ФХ "Rovotxo'ja"</t>
  </si>
  <si>
    <t>Приобретение с.х.техники марки "Беларусь 80.1" - 1 ед.</t>
  </si>
  <si>
    <t>201030811</t>
  </si>
  <si>
    <t>ООО "Xovos poultry farm"</t>
  </si>
  <si>
    <t>Сырдарьинская область</t>
  </si>
  <si>
    <t>Ховосский район</t>
  </si>
  <si>
    <t>реконструкция птицеводческой фермы (строительно-монтажные работы зданий и сооружений) и приобретение 100 тыс.голов цыплят</t>
  </si>
  <si>
    <t>ООО "Nuriddin Fayz Omad baraka"</t>
  </si>
  <si>
    <t>Янгиюлский район</t>
  </si>
  <si>
    <t>Приобретение КРС - 225 голов. (породы "Голштин" - 165 голов., породы "Симменталь" 60 голов.)</t>
  </si>
  <si>
    <t>306706405</t>
  </si>
  <si>
    <t>ФХ "Salohiddin Chorva Invest"</t>
  </si>
  <si>
    <t>Зааминский район</t>
  </si>
  <si>
    <t>Приобретение КРС (породы "Симменталь" - телки) - 32 голов.</t>
  </si>
  <si>
    <t>302579044</t>
  </si>
  <si>
    <t>ФХ "Solijon Fayzu Baraka"</t>
  </si>
  <si>
    <t>Приобретение КРС (породы "Голштин" - телки) - 165 голов.</t>
  </si>
  <si>
    <t>300760273</t>
  </si>
  <si>
    <t>ФХ "Bulung'ur O'rol Toshbekov dalasi"</t>
  </si>
  <si>
    <t>206360460</t>
  </si>
  <si>
    <t>ООО "Saruwxa Gulsin"</t>
  </si>
  <si>
    <t>Приобретение МРС (породистых) - 550 голов.</t>
  </si>
  <si>
    <t>303515258</t>
  </si>
  <si>
    <t>ФХ "Beshbuloq"</t>
  </si>
  <si>
    <t>Дустликский район</t>
  </si>
  <si>
    <t>растениеводства</t>
  </si>
  <si>
    <t>Приобретение пщеницы (сорта "Тимирязевка", "Аср", "Юка" и "Алексеевич"), минеральных удобрений и газосмазочных материалов</t>
  </si>
  <si>
    <t>ФХ "Shuxrat chorva plyus"</t>
  </si>
  <si>
    <t>Мирзачулский район</t>
  </si>
  <si>
    <t>Приобретение КРС (породы "Симментал" - телки) - 96 голов.</t>
  </si>
  <si>
    <t>302919744</t>
  </si>
  <si>
    <t>ООО "Zoirbek ota"</t>
  </si>
  <si>
    <t>Чиназский район</t>
  </si>
  <si>
    <t>Приобретение КРС (породы "Голштин" - телки) - 33 голов.</t>
  </si>
  <si>
    <t>307408807</t>
  </si>
  <si>
    <t>ООО "Yagona Go'sht baraka"</t>
  </si>
  <si>
    <t>Кибрайский район</t>
  </si>
  <si>
    <t>Приобретение КРС (породы "Эстон" - телки) - 66 голов., сельхозтехники марки "Беларусь 82.1" - 1 ед.</t>
  </si>
  <si>
    <t>305169125</t>
  </si>
  <si>
    <t>ООО "Art Globus"</t>
  </si>
  <si>
    <t>Пискентский район</t>
  </si>
  <si>
    <t>Приобретение КРС (породы "Красный Эстон") - 173 голов.</t>
  </si>
  <si>
    <t>206539624</t>
  </si>
  <si>
    <t>ФХ "Agro Gold Spring"</t>
  </si>
  <si>
    <t>Нарпайский район</t>
  </si>
  <si>
    <t>Приобретение КРС (породы "Голштин" - телки) - 132 голов., оборудование для дойки коров - 16 ед., УЗИ-аппарат для коров - 1 ед., сельхозтехника - трактор марки "Belarus-НОХ" - 1 ед., трактор марки "LOVOL-2204" - 1 ед., лазерный планировщик - 1 ед., разбрасыватель жидкого навоза (5-ти тонн.) - 1 ед., культиватор - 1 ед., разбрасыватель жидкого навоза (5-ти тонн.) - 1 ед., культиватор - 1 ед., разбрызгиватель лекарства на поле (600 литровая), разбрызгиватель удобрений на поле марки "RMU-600" (600 литровая) - 1 ед., дисковая борона для обработки почвы (4-х метр.) - 1 ед., сеялка для посева зерн - 1 ед.</t>
  </si>
  <si>
    <t>305694447</t>
  </si>
  <si>
    <t>ООО "Parkent nurli tong"</t>
  </si>
  <si>
    <t>Паркентский район</t>
  </si>
  <si>
    <t>молоководство</t>
  </si>
  <si>
    <t>увеличение оборотных средств (приобретение молоко - 596 тыс.литров)</t>
  </si>
  <si>
    <t>302585426</t>
  </si>
  <si>
    <t>ООО "Strong fish"</t>
  </si>
  <si>
    <t>рыбоводства</t>
  </si>
  <si>
    <t>Закупка услуг по рытью прудов, благоустройству и очистке и закупка мальков рыб с целью развития рыбного хозяйства</t>
  </si>
  <si>
    <t>309839467</t>
  </si>
  <si>
    <t>ООО "Invest Agro Globul"</t>
  </si>
  <si>
    <t>Приобретение с.х.техники: трактор марки "Беларусь 82.1" - 1 ед., пресс-подборщик (прессы для упоковки в кипы) - 1 ед., роторная косилка - 1 ед.</t>
  </si>
  <si>
    <t>304933330</t>
  </si>
  <si>
    <t>ФХ "Alinoz Shergiron"</t>
  </si>
  <si>
    <t>Когонский район</t>
  </si>
  <si>
    <t>Приобретение с.х.техники: трактор марки "Беларусь 82.1" - 1 ед., фронтальный погрузчик - 1 ед.</t>
  </si>
  <si>
    <t>205328024</t>
  </si>
  <si>
    <t>ФХ "Nurli Bo'ston Fayzi"</t>
  </si>
  <si>
    <t>Гулистанский район</t>
  </si>
  <si>
    <t>Приобретение с.х.техники: трактор марки "Беларусь 82.1" - 1 ед., пневматическая сеялка - 1 ед.</t>
  </si>
  <si>
    <t>303170934</t>
  </si>
  <si>
    <t>ФХ "Agro fish"</t>
  </si>
  <si>
    <t>Бекабадский район</t>
  </si>
  <si>
    <t>Приобретение гидропонического оборудование и услуги по копке и очистки бассейнов</t>
  </si>
  <si>
    <t>305510019</t>
  </si>
  <si>
    <t>ФХ "Shahriyor Abbos chorvalari"</t>
  </si>
  <si>
    <t>Пастдаргомский район</t>
  </si>
  <si>
    <t>Приобретение с.х.техники: трактор марки "Беларусь 82.1" - 1 ед., погрузчик марки "Т-219" - 1 ед.</t>
  </si>
  <si>
    <t>304357399</t>
  </si>
  <si>
    <t>ФХ "Shonazarov Ahror dalasi"</t>
  </si>
  <si>
    <t>Приобретение с.х.техники: трактор марки "Беларусь 80.1" - 1 ед.</t>
  </si>
  <si>
    <t>302514473</t>
  </si>
  <si>
    <t>ФХ "Qoniratbay Mexri"</t>
  </si>
  <si>
    <t>Нукусский район</t>
  </si>
  <si>
    <t>Приобретение оборудования для переработки молока и оборудования для транспортировки молока</t>
  </si>
  <si>
    <t>205011064</t>
  </si>
  <si>
    <t>ФХ "Obid-A"</t>
  </si>
  <si>
    <t>Приобретение с.х.техники: трактор марки "Беларусь 82.1" - 1 ед.</t>
  </si>
  <si>
    <t>203453949</t>
  </si>
  <si>
    <t>ФХ "Chorvador Roziqov Alisher"</t>
  </si>
  <si>
    <t>Приобретение с.х.техники: трактор марки "Беларусь 82.1" - 1 ед.,
"Беларусь 80.X" - 1 ед..</t>
  </si>
  <si>
    <t>307547341</t>
  </si>
  <si>
    <t>ООО "Karakul Broller Fayz"</t>
  </si>
  <si>
    <t>Каракульский район</t>
  </si>
  <si>
    <t>Приобретение бройлерных птиц - 6200 голов</t>
  </si>
  <si>
    <t>310211429</t>
  </si>
  <si>
    <t>ФХ "Xurshid Nuriddin Axad"</t>
  </si>
  <si>
    <t>Приобретение 8167 голов 91-ти дневных цыплят с целью производства яиц</t>
  </si>
  <si>
    <t>301355253</t>
  </si>
  <si>
    <t>ЧП "Guljaxon aya"</t>
  </si>
  <si>
    <t>Шахрисабзский район</t>
  </si>
  <si>
    <t>приобретение сельхозтехники: кукурузосборочный комбайн - 1 ед.</t>
  </si>
  <si>
    <t>305202528</t>
  </si>
  <si>
    <t>ООО "Parvina Muqaddas Orzusi"</t>
  </si>
  <si>
    <t>Сайхунабадский район</t>
  </si>
  <si>
    <t>пчеловодство</t>
  </si>
  <si>
    <t>приобретение пчеловодческого оборудования - 1 ед.</t>
  </si>
  <si>
    <t>309890786</t>
  </si>
  <si>
    <t>ООО "Sayxunobod Tomorqa servis o'n"</t>
  </si>
  <si>
    <t>приобретение сельхозтехники: трактор марки SD2104 - 1 ед., плуг оборотный навесной марки "Тор-5" - 1 ед.</t>
  </si>
  <si>
    <t>303192511</t>
  </si>
  <si>
    <t>ООО "Forish oxak kapital"</t>
  </si>
  <si>
    <t>Фаришский район</t>
  </si>
  <si>
    <t>приобретение 8824 голов 30 дневных цыплят для расширение птиводческой деятельности</t>
  </si>
  <si>
    <t>308679184</t>
  </si>
  <si>
    <t>ООО "Kogon Surxiyon Baraka"</t>
  </si>
  <si>
    <t>Приобретение с.х.техники: трактор марки "Беларусь МТЗ 80Х" - 1 ед.</t>
  </si>
  <si>
    <t>308143813</t>
  </si>
  <si>
    <t>ООО "Mahsus ta'minot 090"</t>
  </si>
  <si>
    <t>приобретение 10000 голов 40 дневных цыплят для расширение птиводческой деятельности</t>
  </si>
  <si>
    <t>309968576</t>
  </si>
  <si>
    <t>ФХ "Boboyarov Axmad Fayz barakasi"</t>
  </si>
  <si>
    <t>Приобретение с.х.техники: большой мостовой трактор марки "Беларусь 82.1" - 1 ед.</t>
  </si>
  <si>
    <t>305229176</t>
  </si>
  <si>
    <t>ФХ "Shuhrat-H"</t>
  </si>
  <si>
    <t>Приобретение с.х.техники: пресс-подборщик марки "Markant 650", тракторы "Arion 630C", "New Holland TD5.110 4WD", "Беларусь 82.1", фронтальный погрузчик марки "Metal Fach", сеялка пшеницы, кормосмеситель</t>
  </si>
  <si>
    <t>202081280</t>
  </si>
  <si>
    <t>ФХ "Yangiobod umid uchquni"</t>
  </si>
  <si>
    <t>Сардобинский район</t>
  </si>
  <si>
    <t>Приобретение с.х.техники: трактор марки "New Holland T6070"</t>
  </si>
  <si>
    <t>304692284</t>
  </si>
  <si>
    <t>ООО "Xalqabad Kolbasa Zavodi"</t>
  </si>
  <si>
    <t>Кегейлинский район</t>
  </si>
  <si>
    <t>пищеводство</t>
  </si>
  <si>
    <t>приобретение: сырья и специального оборудования по производству колбасных изделий</t>
  </si>
  <si>
    <t>310205964</t>
  </si>
  <si>
    <t>ООО "Milkygo"</t>
  </si>
  <si>
    <t>Ташкентский район</t>
  </si>
  <si>
    <t>Приобретение с.х.техники: трактор марки "New Holland TD5.110" и прочая сельхозтехника</t>
  </si>
  <si>
    <t>305887980</t>
  </si>
  <si>
    <t>ФХ "Xikmatov Bunyod"</t>
  </si>
  <si>
    <t>Приобретение с.х.техники: пресс-подборщик марки "Markant 650",  тракторы марки "New Holland TD5.110 4WD", "Беларусь 82.1"</t>
  </si>
  <si>
    <t>206249004</t>
  </si>
  <si>
    <t>ФХ "Xazrat bobo"</t>
  </si>
  <si>
    <t>Приобретение с.х.техники: тракторы марки "Беларусь 80.1" (2 ед.), "Беларусь 82.1" (1 ед.)</t>
  </si>
  <si>
    <t>202808308</t>
  </si>
  <si>
    <t>ООО "Yo'ldosh Zuxro Ko'xinur"</t>
  </si>
  <si>
    <t>Приобретение с.х.техники: трактор марки "Arion 630C"</t>
  </si>
  <si>
    <t>307668895</t>
  </si>
  <si>
    <t>ООО "Kesgan Jar Chorva Mollari"</t>
  </si>
  <si>
    <t>Приобретение с.х.техники: трактор марки "Беларус МТЗ 82.1" - 1 ед.</t>
  </si>
  <si>
    <t>307289229</t>
  </si>
  <si>
    <t>ООО "Poly Tex Sirdaryo"</t>
  </si>
  <si>
    <t>Приобретение дояльного оборудования и оборудования по транспортировки молочных изделий - 1 компл.</t>
  </si>
  <si>
    <t>301880543</t>
  </si>
  <si>
    <t>ФХ "Xudaybergan"</t>
  </si>
  <si>
    <t>Хорезмская область</t>
  </si>
  <si>
    <t>Янгибазарский район</t>
  </si>
  <si>
    <t>Приобретение с.х.техники: лазерный ниверил (выпрямитель) марки
"ПЛ-4,5" - 1 ед.</t>
  </si>
  <si>
    <t>203124953</t>
  </si>
  <si>
    <t>ООО "Yetti Xazina tomorqa xizmati"</t>
  </si>
  <si>
    <t>Навоийская область</t>
  </si>
  <si>
    <t>Навбахорский район</t>
  </si>
  <si>
    <t>строительство птицеводческой фермы (в том числе установка вентиляционного оборудования) - 2 ед.</t>
  </si>
  <si>
    <t>309336168</t>
  </si>
  <si>
    <t>ООО "So'x Ideall international"</t>
  </si>
  <si>
    <t>Ферганская область</t>
  </si>
  <si>
    <t>Сохский район</t>
  </si>
  <si>
    <t>на строительство пруда для интенсивного рыбоводства с целью развития рыбного хозяйства</t>
  </si>
  <si>
    <t>308972486</t>
  </si>
  <si>
    <t>ФХ "Gulmira Nasimjon dalasi"</t>
  </si>
  <si>
    <t>Приобретение с.х.техники: трактор марки "Беларусь МТЗ 952.2" - 1 ед., фронтальный погрузчик марки "Т-219" - 2 ед.</t>
  </si>
  <si>
    <t>303875634</t>
  </si>
  <si>
    <t xml:space="preserve">ФХ "DILSHOD MADAD KARIMOVJON" </t>
  </si>
  <si>
    <t>Приобретение с.х.техники: тракторы марки "ARION 630 C" 1tl., "Беларусь-82.1" - 1 ед. и
28-рядная сеялка для пшеницы</t>
  </si>
  <si>
    <t>304319777</t>
  </si>
  <si>
    <t>ООО "OQ-CHASHMA"</t>
  </si>
  <si>
    <t>Приобретение с.х.техники: трактор марки "ARION 630C" - 1 ед.</t>
  </si>
  <si>
    <t>203239224</t>
  </si>
  <si>
    <t>ООО "AAA NASILLI CHORVA"</t>
  </si>
  <si>
    <t>Кизилтепинский район</t>
  </si>
  <si>
    <t>Приобретение строй.маатериалы</t>
  </si>
  <si>
    <t>307336675</t>
  </si>
  <si>
    <t xml:space="preserve">ФХ "ETTI XAZINANING BIRI" </t>
  </si>
  <si>
    <t>Андижанская область</t>
  </si>
  <si>
    <t>Улугнарский район</t>
  </si>
  <si>
    <t>Приобретение 4000 голов куры</t>
  </si>
  <si>
    <t>305493554</t>
  </si>
  <si>
    <t>ООО "PARRAVSHAN TRNS"</t>
  </si>
  <si>
    <t>Приобретение 159625 голов суточные курочки. (Ломани Сенди)</t>
  </si>
  <si>
    <t>300039947</t>
  </si>
  <si>
    <t xml:space="preserve">ФХ "BOSHQIRSHIX RAISI" </t>
  </si>
  <si>
    <t>Приобретение с.х.техники:  Лазеный планировщик ПЛ-4.5-2ед; Пресс -подборщик Clan Markant 650 brand все пресс-1ед.; Прицеп тракторный 2ПТС-4*793-03А 4.5 тонна-2ед; Глубина нахоты 40-50cм АТ-PMRH- 1ед.3+1</t>
  </si>
  <si>
    <t>307154222</t>
  </si>
  <si>
    <t>OOO "JIZZAX IMPEKS PARRANDA"</t>
  </si>
  <si>
    <t>Ш.Рашидовский район</t>
  </si>
  <si>
    <t>Приобретение  птицефабрика</t>
  </si>
  <si>
    <t>304824173</t>
  </si>
  <si>
    <t>ФХ "ISTIQLOL VODIY TONG"</t>
  </si>
  <si>
    <t>Ферганская район</t>
  </si>
  <si>
    <t>Приобретение с.х.техники: трактор марки "LOVOL 1104" - 11 ед.</t>
  </si>
  <si>
    <t>303457805</t>
  </si>
  <si>
    <t>ФХ “TO’MARIS NUR CHORVA”</t>
  </si>
  <si>
    <t>Уртачирчикский район</t>
  </si>
  <si>
    <t>Приобретение Измельчитель упаковщик влажноrо зерна
иув3_20м, Рукав полимерный мя зерна О 1,5м, L=60cм, Трактор Беларус-1221,2, Погрузчик КУН (TURS).1 500_0Д-1 221 h=4,04m й 1500 к (без рабочих органов, джойстик), 3ахват универсальный КУН (TURS)-2000-18д, Вилы без прижима КУН (TURS)-2000-12-01, Приспособление для погрузки рулонов кун (TURS)-2000-11, Ковш 0,6 мЗ челюстной (L=2M) КУН (TURS)-2000-14, Пастеризатор молока стационарный ПС-300, Культиватор для междурядной обработки почвы КРН-4,2А (6-рядн) с подкормочным приспособлением для внесения сыпучих минеральных удобрений, Д245-06 Двигатель МТЗ-1005, МТ3-1025 105 л,с., с жидкостно-масляным теплообменником, ММЗ, H90V1OC-01 Грабли колесно-пальцевые рицепныс с центральным колесом 1ед, RB l 2/2000 NW Пресс-подборщик 2ед, TRB2OL Полборщик-транспортировщик улонов 2ед. H9OV10С-01  Грабли колесно-польцевые прицепные с центрольным колесом 1ед. RB12/2000 NW Пресс-подборщик 2 ед, TRB2OL Подборшик_x0002_транспортировщик рулонов 2 ед, Трактор Кировец К-525 1 ед.</t>
  </si>
  <si>
    <t>304728252</t>
  </si>
  <si>
    <t>ФХ "RISOLAT CHORVASI"</t>
  </si>
  <si>
    <t>Каттакурганский район</t>
  </si>
  <si>
    <t>Приобретение  мать-рыба (сазан) 12 500 кг</t>
  </si>
  <si>
    <t>303920561</t>
  </si>
  <si>
    <t>ФХ " Azizbek Reyimboyev"</t>
  </si>
  <si>
    <t>Шовотский район</t>
  </si>
  <si>
    <t>Приобретение  птицефабрика с 28000 голов курыми</t>
  </si>
  <si>
    <t>303410420</t>
  </si>
  <si>
    <t xml:space="preserve">OOO "AMINA-ABDULBOSIT BARAKA" </t>
  </si>
  <si>
    <t>Яаккабогский район</t>
  </si>
  <si>
    <t>приобретение Унверсал пастеризатор ПУ-1000, пастеризатор трубка ПТ-1500, линия по производству сыра ПС-300, автоматизированный универсальный котел КУА-50.</t>
  </si>
  <si>
    <t>308135316</t>
  </si>
  <si>
    <t>OOO "PARRAVSHAN TRANS"</t>
  </si>
  <si>
    <t>Приобретение 1 комплекта оборудования для выращивания кур-несушек</t>
  </si>
  <si>
    <t>OOO "YANGI ASR"</t>
  </si>
  <si>
    <t xml:space="preserve">Приобретение автоматический упаковичная термоформовочная машина qt 1000 1ед,автоматический упаковичная термоформовочная машина qt 1005 1ед, Линия для призводства сыра моцарелла 1ед, обородивение для розлива и фасовки Кефира и Катқка  1ед. </t>
  </si>
  <si>
    <t>OOO" ESHMUMIN OTA BARAKA"</t>
  </si>
  <si>
    <t>Норободский район</t>
  </si>
  <si>
    <t>Приобретение Беларус 1025.2 1Ед.</t>
  </si>
  <si>
    <t>OOO "Ziyokor Oq Oltin"</t>
  </si>
  <si>
    <t>Чубодонский район</t>
  </si>
  <si>
    <t>Приобретение механичиский сеялка SAPHIR 9/300 (ZIRKON 8/300) 1 ед.</t>
  </si>
  <si>
    <t>OOO "SAPARBAY MAXMUD"</t>
  </si>
  <si>
    <t>Шаватский район</t>
  </si>
  <si>
    <t>Приобретение 1 грузового автомобиля с кузовом фургон" ISUZU nqr90l(COMFORT)"</t>
  </si>
  <si>
    <t>OOO "SHO'RKO'L CHORVA"</t>
  </si>
  <si>
    <t>Приобретение плавучего шарового аэратора, строительно-подрядные работы по созданию искусственного озера.</t>
  </si>
  <si>
    <t>ООО "ЗАРИФОТА"</t>
  </si>
  <si>
    <t>Бухарский район</t>
  </si>
  <si>
    <t>Приобретение 1 комбайна кукурузы и 1 механической сеялки САПХИР 9300 K-G-6</t>
  </si>
  <si>
    <t>ФХ "ШУХРАТ"</t>
  </si>
  <si>
    <t>Ромитонский район</t>
  </si>
  <si>
    <t>Приобретение 1 сельскохозяйственного комбайна РСМ-100(ДОН-680 М)</t>
  </si>
  <si>
    <t>ФХ "ILHOMBEK JAVLONBEK AMIRBEK"</t>
  </si>
  <si>
    <t>Жалакудукский район</t>
  </si>
  <si>
    <t>Приобритение услуги по рытью пруд и закупка цементной продукции для строительства пруд</t>
  </si>
  <si>
    <t>ФХ "XONIMJON QODIROAVA"</t>
  </si>
  <si>
    <t>Хонканский район</t>
  </si>
  <si>
    <t>Приобретение Беларус 1221.3 с кондиционером 1Ед.</t>
  </si>
  <si>
    <t xml:space="preserve">ООО "SHO'RKO'L CHORVA" </t>
  </si>
  <si>
    <t>Приобритение 60 плавающих шаровых аэраторов, услуг по очистке прудов с рыбой, 21,5 тонн молоди живого карпа, 2,9 тонны живой мальки амурской рыбы и 4,15 тонн молоди пестрика.</t>
  </si>
  <si>
    <t>ООО "SHOX CHORVA KOMPLEKS 111"</t>
  </si>
  <si>
    <t>Приобретение сельскохозяйственного Трактор ARION 630C 1 шт.</t>
  </si>
  <si>
    <t>ФХ "ZIYOKOR OQ OLTIN"</t>
  </si>
  <si>
    <t>ФХ "ZOLOTOY VINOGRAD"</t>
  </si>
  <si>
    <t>Приобретение 1 сельскохозяйственного Трактор ARION 630C 1 шт. Телескоп мост, 6 р.  1 шт</t>
  </si>
  <si>
    <t>ФХ "VELEKIY YABLOKO"</t>
  </si>
  <si>
    <t>SAPHIR9300 механический сеялка 1 шт, ПЛ-5 м. Телескоп  мост.6 р 2шт, пневматическая Сеялка точного высева 6 рядовая 1 шт</t>
  </si>
  <si>
    <t>ЧФ "SURXON CHORVACHILIK"</t>
  </si>
  <si>
    <t>Сурхандарьинская область</t>
  </si>
  <si>
    <t>Жаркурганский район</t>
  </si>
  <si>
    <t xml:space="preserve">Приобретение Беларус МТЗ 1025.2 с кондицонером 1 шт,плуг Кир 1.5 1 шт </t>
  </si>
  <si>
    <t>OOO "FOTIMA TAYYORLOV"</t>
  </si>
  <si>
    <t xml:space="preserve">Приобретение трактор Беларус-МТЗ 952.2 с кондиционером 1 шт, оприсковетел 600л 1шт,  оприсковетел 800л 1шт, 4-х корпусный садовый плуг (Н;60-L;60) 1 шт </t>
  </si>
  <si>
    <t>ФХ "MUTOLAA"</t>
  </si>
  <si>
    <t xml:space="preserve">Приобретение LOVOL P4110 1 шт, 4 шт доильных аппаратов </t>
  </si>
  <si>
    <t>ФХ "KANADA BUG'DOYO"</t>
  </si>
  <si>
    <t>Днеовский район</t>
  </si>
  <si>
    <t xml:space="preserve">Приобретение пиламатиряли, цемент, краска, шефер метали </t>
  </si>
  <si>
    <t xml:space="preserve">ФХ “XURSHID NURIDDIN AXAD” </t>
  </si>
  <si>
    <t>Приобретение 100 000 голов цыплят и 615,3 тонны куриного корма</t>
  </si>
  <si>
    <t>ФХ “QUMRABOT”</t>
  </si>
  <si>
    <t xml:space="preserve">Приобретение трактор (Case Puma 220) 1 шт </t>
  </si>
  <si>
    <t>ФХ “QASSOB SABUR”</t>
  </si>
  <si>
    <t>Урганчский район</t>
  </si>
  <si>
    <t>Приобретение трактор Беларус 80х 1 шт, прицеп 4.5 тонни 2 шт и сеяка для пшынеци 1 шт.</t>
  </si>
  <si>
    <t>ФХ “GULSHAN”</t>
  </si>
  <si>
    <t>Приобретение трактор Zoomlion RG1804 1 шт и трактор Белорус МТЗ 80х с кондиционем,</t>
  </si>
  <si>
    <t>ФХ “AZIZBEK XAMZALIYEV ZAMINI”</t>
  </si>
  <si>
    <t>Фуркатский район</t>
  </si>
  <si>
    <t xml:space="preserve">Приобретение трактор (Case Puma 155) 1 шт </t>
  </si>
  <si>
    <t>ФХ "ZARAFSHON JAYRONI"</t>
  </si>
  <si>
    <t>Приобретение трактор (New Holland TD5.110) 1 шт, трактор (Беларус 80Х) 1 шт.</t>
  </si>
  <si>
    <t>OOO "ELITE-RIB"</t>
  </si>
  <si>
    <t>Приобритение сазан 5000 кг, Толстолап 3000 кг и африкаснскй сом 1000 кг</t>
  </si>
  <si>
    <t>ФХ "XOSIYAT"</t>
  </si>
  <si>
    <t>Узунский район</t>
  </si>
  <si>
    <t>Приобретение 1 шт трактор YTO 554 и Пресс-подборщик Паксан 1 шт.</t>
  </si>
  <si>
    <t>ФХ "BO'RIPOLVON-OLTIN XAVZA"</t>
  </si>
  <si>
    <t>Приобритение 8,0 тонна малков рибий</t>
  </si>
  <si>
    <t>ФХ "DUL-DUL CHASHMASI"</t>
  </si>
  <si>
    <t>Приобритения 126107 кг мальков сазана, 30236 кг мальков толстолоб и 30613 кг мальков амура</t>
  </si>
  <si>
    <t>ФХ "OMAD"</t>
  </si>
  <si>
    <t>Гиждуванский район</t>
  </si>
  <si>
    <t>Приобретение 1 шт. трактора марки Беларусь-80х (оснащенного кондиционером)</t>
  </si>
  <si>
    <t>OOO "JAYXUN CHORVA NASL"</t>
  </si>
  <si>
    <t xml:space="preserve">Приобритние 1 шт SAPHIR 9/300(ZIRKON 8/300) механическая сеялка и 1 шт EUROPAl 7 301 N100 навесной оборотный плуг. </t>
  </si>
  <si>
    <t>Сумма одобренных суб-проектов</t>
  </si>
  <si>
    <t>Остаток неиспользованных средств</t>
  </si>
  <si>
    <t>АКБ "Микрокредитбанк"</t>
  </si>
  <si>
    <t>ФХ "Мурод"</t>
  </si>
  <si>
    <t>Приобретение КРС (породы "Симменталь") - 60 голов.</t>
  </si>
  <si>
    <t>201657853</t>
  </si>
  <si>
    <t>ООО "Сирдарё момиқ қуёнлари"</t>
  </si>
  <si>
    <t>Мирзаабадский район</t>
  </si>
  <si>
    <t>кролиководство</t>
  </si>
  <si>
    <t>Приобретение:
1. 960 голов крольчих и 170 голов кролик породы "Новый Зелланд" за 253,7 млн.сум; 2. 50 ед. клеток для кроликов за 206,3 млн.сум;
3. Трактор марки "Беларус 1025,2 МТЗ" за 435,0 млн.сум; 4. Пресс-подборщик марки КЕ 555 за 185,0 млн.сум.</t>
  </si>
  <si>
    <t>ООО "Promeatagro"</t>
  </si>
  <si>
    <t>Приобретение КРС (породы "Голштин") - 500 голов.</t>
  </si>
  <si>
    <t>308483114</t>
  </si>
  <si>
    <t>ФХ "Shaxruzabonu Chorvasi"</t>
  </si>
  <si>
    <t>Каршинский район</t>
  </si>
  <si>
    <t>транспортные услуги</t>
  </si>
  <si>
    <t>Приобретение т.с. марки ISUZU FVR 33 PLX</t>
  </si>
  <si>
    <t>308063304</t>
  </si>
  <si>
    <t>ФХ "Shukrona Omad Fayz"</t>
  </si>
  <si>
    <t>Приобретение КРС (породы "Шароле") - 93 голов.</t>
  </si>
  <si>
    <t>302136889</t>
  </si>
  <si>
    <t>ИП “Sherzodbek Biznes Fayz”</t>
  </si>
  <si>
    <t>Приобретение КРС белоголовая порода - 293 голов.</t>
  </si>
  <si>
    <t>302748317</t>
  </si>
  <si>
    <t>ООО "Madifar lider"</t>
  </si>
  <si>
    <t>Приобретение КРС (породы "Голштин") - 180 голов.</t>
  </si>
  <si>
    <t>306265813</t>
  </si>
  <si>
    <t>ООО "Ambassador agro servis"</t>
  </si>
  <si>
    <t>Приобретение КРС (породы "Симменталь") - 250 голов.</t>
  </si>
  <si>
    <t>309530663</t>
  </si>
  <si>
    <t>ФХ "Dustboy chorva"</t>
  </si>
  <si>
    <t>303054895</t>
  </si>
  <si>
    <t>ФХ "Qurbonboy istiqloli"</t>
  </si>
  <si>
    <t>Приобретение МРС породы "Эдилбай" - 1500 голов.</t>
  </si>
  <si>
    <t>305067600</t>
  </si>
  <si>
    <t>ООО "Qo’shrabot Lohmann Parranda"</t>
  </si>
  <si>
    <t>Кушрабатский район</t>
  </si>
  <si>
    <t>Приобретение 37500 голов цыплят породы "Супер Ник" и "Браун Ник", комплект инкубаторного оборудования, клеточное оборудование, тр.с.для перевозки цыплят и кур</t>
  </si>
  <si>
    <t>ООО "Eco Rabbit"</t>
  </si>
  <si>
    <t>Приобретение 1000 гол кролчихы породы "Новозеланд" (PS Hyla Optima) и 80 гол кроликов породы "Новозеланд" (PS59), оплата строительных работ, 210 единиц
клетчатное оборудование для кролик</t>
  </si>
  <si>
    <t>ООО "Sardor-Sarvar-Savdo-Fayz"</t>
  </si>
  <si>
    <t>Приобретение 25000 голов цыплят породы "Росс-308" и
3 единицы холодильного оборудования марки "Bitzer"</t>
  </si>
  <si>
    <t>305523659</t>
  </si>
  <si>
    <t>ООО "Otabek Sardorbek Invest"</t>
  </si>
  <si>
    <t>Косонский район</t>
  </si>
  <si>
    <t>Приобретение 125 тонн корм для птиц</t>
  </si>
  <si>
    <t>305013826</t>
  </si>
  <si>
    <t>ООО "Sifatli chorva biznes"</t>
  </si>
  <si>
    <t>Приобретение КРС (породы "Голштин" - телки) - 66 голов.,
копмплект оборудований по животноводству - 1 ед.</t>
  </si>
  <si>
    <t>304169220</t>
  </si>
  <si>
    <t>ООО "Ko'kchak baliqchiligi"</t>
  </si>
  <si>
    <t>Приобретение 4000 голов мать-рыба ("Сазан")</t>
  </si>
  <si>
    <t>302559235</t>
  </si>
  <si>
    <t>ООО "Diyor do'stlik"</t>
  </si>
  <si>
    <t>Приобретение оборудования для капельного орошения - 1 компл.
и автофургона (грузовой т.с.) марки Isuzu NQR71PL (с холодильном оборудованием) - 1 ед.</t>
  </si>
  <si>
    <t>307633615</t>
  </si>
  <si>
    <t>ФХ "Oq Dul Maks"</t>
  </si>
  <si>
    <t>приобретение однодневных племенных цыплята бройлеров - 307900 голов</t>
  </si>
  <si>
    <t>206301461</t>
  </si>
  <si>
    <t>ООО "Xusaynzoda nasldor chorvalari"</t>
  </si>
  <si>
    <t>г.Джизак</t>
  </si>
  <si>
    <t>приобретение 30000 голов породистых кур, птицеводческое оборудование - 1 комп. и трансформатор - 1 ед.</t>
  </si>
  <si>
    <t>307549101</t>
  </si>
  <si>
    <t>ООО "Seven-Planeet"</t>
  </si>
  <si>
    <t>Олтинсойский район</t>
  </si>
  <si>
    <t>приобретение строительных материалов в целях развития птицеводческой деятельности для модернизации птицеводческого комплекса</t>
  </si>
  <si>
    <t>309452444</t>
  </si>
  <si>
    <t>ООО "Zarbdor Green Feed"</t>
  </si>
  <si>
    <t>Зарбдарский район</t>
  </si>
  <si>
    <t>приобретение гранулятора (1 ед.), холодильного оборудования (1 ед.)</t>
  </si>
  <si>
    <t>308924544</t>
  </si>
  <si>
    <t>ООО "Imronshox"</t>
  </si>
  <si>
    <t>Самаркандский район</t>
  </si>
  <si>
    <t>приобретение 73250 голов породистых кур (Несушка 100 дней)</t>
  </si>
  <si>
    <t>308201104</t>
  </si>
  <si>
    <t>OOO "AGROSTELLA ROSS"</t>
  </si>
  <si>
    <t>приобретение оборудование - 1 компл.</t>
  </si>
  <si>
    <t>309320133</t>
  </si>
  <si>
    <t>OOO "Eco Fish - Friends"</t>
  </si>
  <si>
    <t>Наманганская область</t>
  </si>
  <si>
    <t xml:space="preserve">Чустский район </t>
  </si>
  <si>
    <t xml:space="preserve"> Приобретение мальки сазан 125 000 шт и  живая рыба 200000 с целью развития рыбного хозяйства</t>
  </si>
  <si>
    <t>303236787</t>
  </si>
  <si>
    <t>OOO "Fayz agro sanoat"</t>
  </si>
  <si>
    <t>приобретение 800 000 гол. цыплят породы "Росс-308"</t>
  </si>
  <si>
    <t>302300384</t>
  </si>
  <si>
    <t>ООО "Baraka Rancho"</t>
  </si>
  <si>
    <t>Карманинский район</t>
  </si>
  <si>
    <t>приобретение 25000 гол. цыплят породы "Росс-308"</t>
  </si>
  <si>
    <t>308642113</t>
  </si>
  <si>
    <t>ООО "Shakhzoda Baraka fayz"</t>
  </si>
  <si>
    <t>приобретение 20 000 голов породистых кур</t>
  </si>
  <si>
    <t>303223677</t>
  </si>
  <si>
    <t>ООО "Saroylik Parranda Fayz"</t>
  </si>
  <si>
    <t>приобретение 12000 голов породистых кур и клеток</t>
  </si>
  <si>
    <t>306064969</t>
  </si>
  <si>
    <t>ООО "Zar Fayz-SF"</t>
  </si>
  <si>
    <t>приобретение 20000 голов породистых кур и клеток</t>
  </si>
  <si>
    <t>306163330</t>
  </si>
  <si>
    <t>"Toto Brend Chickins" ОК</t>
  </si>
  <si>
    <t>приобретение оборудование - 11 видов.</t>
  </si>
  <si>
    <t>ФХ "Камол Кучкаров Файзи"</t>
  </si>
  <si>
    <t>приобретение оборудование и  ломан браун цыплята 25000.</t>
  </si>
  <si>
    <t>300141513</t>
  </si>
  <si>
    <t>ФХ "Kuvasoy Ruzibuvo yangi bogi"</t>
  </si>
  <si>
    <t>Кувасойский район</t>
  </si>
  <si>
    <t>Приобретение с.х.техники марки "Беларус 82.1" - 1 ед, Минитрактор Lovol 504 1ед, Култиватор Фреза 1ед, Погрузчик Lovol 504 1ед.</t>
  </si>
  <si>
    <t>ООО "Oftobim Nurim"</t>
  </si>
  <si>
    <t>Окдаринский район</t>
  </si>
  <si>
    <t xml:space="preserve"> приобретение 7 142,86 кг живая рыба целью развития рыбного хозяйства</t>
  </si>
  <si>
    <t>307892792</t>
  </si>
  <si>
    <t>OOO "Seeven Planeet"</t>
  </si>
  <si>
    <t>Приобретение 25 000 шт 120 девная куры</t>
  </si>
  <si>
    <t>OOO "Bandixon Broyler 2022"</t>
  </si>
  <si>
    <t>Бандихонский район</t>
  </si>
  <si>
    <t>Приобретение цыплят породы "Росс-308" 31521 ед.</t>
  </si>
  <si>
    <t>OOO "XURSHID TANTANASI"</t>
  </si>
  <si>
    <t>Пахтаободский район</t>
  </si>
  <si>
    <t>Приобретение цыплят породы "Росс-308" 1.000.000 ед.</t>
  </si>
  <si>
    <t>303477733</t>
  </si>
  <si>
    <t>OOO "Zoxid Agro"</t>
  </si>
  <si>
    <t>Приобретение оборудования, цыпленка, лекарства для птицы и витаминные продукты из птицы</t>
  </si>
  <si>
    <t>305693757</t>
  </si>
  <si>
    <t xml:space="preserve">OOO "BOTIROVA AZIZA ASL CHORVASI" </t>
  </si>
  <si>
    <t>Приобретени 11 видов птицеводческого оборудования и расходных материалов.</t>
  </si>
  <si>
    <t>310225949</t>
  </si>
  <si>
    <t>OOO "STATUS SOFT"</t>
  </si>
  <si>
    <t>Приобретение специального 6 шт оборудования для выращивания фарельской рыбы, холодильного оборудования для охлаждения, замораживания и хранения рыбы</t>
  </si>
  <si>
    <t>310894497</t>
  </si>
  <si>
    <t>OOO "Inno Lab"</t>
  </si>
  <si>
    <t>Бустанликский район</t>
  </si>
  <si>
    <t>Приобретение тюковый Sipma 4010 Kostka 1 шт., плуг роторный AT-PMRH 18 3+1 1 шт., прицеп Shuangwei 7CX+10 1 шт., силосоуборочная машина 3 ряда (Celike) 1 шт. и борона дисковая 24, диски (NARDI) 24. 1 шт.</t>
  </si>
  <si>
    <t>305526471</t>
  </si>
  <si>
    <t>ФХ "ADXAM SALOXIDDIN"</t>
  </si>
  <si>
    <t>Приобретений МРС 400 голов гисарский пародий</t>
  </si>
  <si>
    <t>303912420</t>
  </si>
  <si>
    <t>OOO "SHAKHZODA BARAKA FAYZ"</t>
  </si>
  <si>
    <t>Приобретений 12 500 120-дневных цыплят.</t>
  </si>
  <si>
    <t>OOO "CHICKEN GOLD VOBKENT"</t>
  </si>
  <si>
    <t>Вобкентский район</t>
  </si>
  <si>
    <t>Приобретений 14000 1-дневных цыплят Росс-308 и охлаждайиши обародивения модел 4PES-1,2,40P.</t>
  </si>
  <si>
    <t>310048511</t>
  </si>
  <si>
    <t>ООО "INTER AGRO"</t>
  </si>
  <si>
    <t>Приобритений комплексная зданий и сооружений для убоя птицы, комплекса оборудования для заморозки мяса птицы в туннельной системе, оборудования для производства фарша,</t>
  </si>
  <si>
    <t>305131584</t>
  </si>
  <si>
    <t>OOO "UMAR OTA HIRMONTEPASI"</t>
  </si>
  <si>
    <t>Приобретение с.х.техники марки "Беларус 82.1" - 1 ед,оборудование опрыскиватель препаратов 600 л 1 шт., прессовое оборудование КЭ-520 1 шт., прицеп 2ПТС-4,5 1 шт., грейфер 2-сторонний 10 зубьев 1 шт., плуг с 3-х корпусами 1 шт., измельчитель стеблей хлопка модель 3200 1 шт., разбрасыватель минеральных удобрений техника 800 л. 1 шт.</t>
  </si>
  <si>
    <t>309724437</t>
  </si>
  <si>
    <t xml:space="preserve">ЧФ “Niyozov Abdulqosim” </t>
  </si>
  <si>
    <t>Кумкурганский район</t>
  </si>
  <si>
    <t>Приобритений оборудования для птицефабрик и оборудования для кондиционирования воздуха. 33334 голова курицы</t>
  </si>
  <si>
    <t>ЧФ “Export Omad”</t>
  </si>
  <si>
    <t>Приобретенный МРС 400 голов</t>
  </si>
  <si>
    <t>ООО "DIYOR PARRANDA BIZNES"</t>
  </si>
  <si>
    <t>Андижанский район</t>
  </si>
  <si>
    <t>Клеточное оборуодваине для содержания реммолодняка 1 комплект</t>
  </si>
  <si>
    <t>304734966</t>
  </si>
  <si>
    <t>ЧФ "KEGEYLI BARAKA NASILLI PARRANDA"</t>
  </si>
  <si>
    <t xml:space="preserve">Приобритение 71 шт инкубаторы в комплекте с выводным шкафом и системой водяного охлаждения (Модел: YFDF-19200 вместимость:19200 яиц), 5 шт Дизельный генератор GlobalGen (Модел:AD-250-WI Мощность: 250 кВт) и 1 шт линия по производству комбикорма (Модель: FS30-4213, FS30-2407, Мощность: 95,64 кВт.  </t>
  </si>
  <si>
    <t>311578366</t>
  </si>
  <si>
    <t>ООО "NAZOKATXON 555"</t>
  </si>
  <si>
    <t>Мирзаободский район</t>
  </si>
  <si>
    <t>Приобретение 300 тонн кормовых продуктов (хлопковой шрот)</t>
  </si>
  <si>
    <t>311773623</t>
  </si>
  <si>
    <t>OOO "NURAFSHON SERVIS BIZNES"</t>
  </si>
  <si>
    <t xml:space="preserve"> Приобретение мальки сазан 20 000 кг и 281.250 кг корм для рыб (ALLER CLASSIC)</t>
  </si>
  <si>
    <t>302852078</t>
  </si>
  <si>
    <t>OOO "MANGIT FISH"</t>
  </si>
  <si>
    <t>Амударинский район</t>
  </si>
  <si>
    <t>Приобретение 200 кг карп, 200 кг бели амур,300 кг африканский сом, 300 кг осмотр и 8000 кг рибий</t>
  </si>
  <si>
    <t>311011415</t>
  </si>
  <si>
    <t>OOO "ERGASHOBOD"</t>
  </si>
  <si>
    <t>Карманский район</t>
  </si>
  <si>
    <t>Приобретение КРС породы "белгоголовка" - 129 гол.</t>
  </si>
  <si>
    <t>202769824</t>
  </si>
  <si>
    <t>OOO "MAXMUD-MANSUR-MUZAFFAR"</t>
  </si>
  <si>
    <t>Приобретение КРС  - 150 гол.</t>
  </si>
  <si>
    <t>305396058</t>
  </si>
  <si>
    <t>ЧФ "SHERZODBEK BIZNES FAYZ"</t>
  </si>
  <si>
    <t>Приобретение 127,48 тонны отрубей и 92,45 тонны 1 сорта хлопкового шрота</t>
  </si>
  <si>
    <t>OOO "SAZAN-BALIQ-777"</t>
  </si>
  <si>
    <t>Карманаский район</t>
  </si>
  <si>
    <t>Приобретение плавучих шаровых аэротров и 21500 кг мальков сазана 9000 кг мальков толстолобика и 1000 кг мальков амура</t>
  </si>
  <si>
    <t>310327418</t>
  </si>
  <si>
    <t>OOO "YANGI YANGIOBOD UMIDI"</t>
  </si>
  <si>
    <t>Богдодский район</t>
  </si>
  <si>
    <t>Приобретение 130 ячеек для выращивания кур и 13000 голов кур породы сэнди в направлении яиц</t>
  </si>
  <si>
    <t>309843194</t>
  </si>
  <si>
    <t>ФХ "JAXONGIR MUSTAFO"</t>
  </si>
  <si>
    <t>Янгиарикский район</t>
  </si>
  <si>
    <t>Приобритение рыбных кормов</t>
  </si>
  <si>
    <t>305297956</t>
  </si>
  <si>
    <t>ООО "BEK SAROY GOLDS FISH"</t>
  </si>
  <si>
    <t>Приобретение 30 штук плавучих шаровых аэраторов и 12 434 кг мальков сазана</t>
  </si>
  <si>
    <t>311884904</t>
  </si>
  <si>
    <t>ФХ "SADIROV"</t>
  </si>
  <si>
    <t>Пешкуский район</t>
  </si>
  <si>
    <t>Приобретение КРС породы "қизил чул" - 47 гол.</t>
  </si>
  <si>
    <t>200884288</t>
  </si>
  <si>
    <t>СФ "MMM GOLDEN CHIKEN 2022"</t>
  </si>
  <si>
    <t>Бувайдиский район</t>
  </si>
  <si>
    <t>Приобретение 267 ячеек для выращивания кур и циплят.</t>
  </si>
  <si>
    <t>309351775</t>
  </si>
  <si>
    <t>ФХ "AXMADIY"</t>
  </si>
  <si>
    <t>Боёвутский район</t>
  </si>
  <si>
    <t>Приобритение CDHV 28 Прицепная дисковая борона, тип V (3.2м) 1 шт и фронтальный погрузчик LONKING модел LG833H 1 шт</t>
  </si>
  <si>
    <t>200305437</t>
  </si>
  <si>
    <t>OOO "SAMMIX CHICKEN MEAT"</t>
  </si>
  <si>
    <t>Избаскаский район</t>
  </si>
  <si>
    <t>птицеводствоё</t>
  </si>
  <si>
    <t>Приобритение линии для забоя кур и линии для заморозки куриного мяса в туннельной системе.</t>
  </si>
  <si>
    <t>311425398</t>
  </si>
  <si>
    <t>OOO "MIRZA MUROT"</t>
  </si>
  <si>
    <t>Приобретение КРС породы "симетал" - 60 гол.</t>
  </si>
  <si>
    <t>311034441</t>
  </si>
  <si>
    <t>ДХ "TO'RTKO'LLI AZIMBAY JANAK"</t>
  </si>
  <si>
    <t>Турткулский район</t>
  </si>
  <si>
    <t>Приобретение КРС породы "белоголовый" - 20 гол.</t>
  </si>
  <si>
    <t>302990184</t>
  </si>
  <si>
    <t>ФХ "O'RAMAS PARRANDACHILIK"</t>
  </si>
  <si>
    <t>Ургутский район</t>
  </si>
  <si>
    <t>Приобретение 857143 кг подсолнечного шрота, 563569 кг соевого шрота, 263260 литров хлопкового масла, 741721 кг хлопкового шрота, 257 тонн подсолнечного масла, 1375 тонн пшеницы, 273170 кг соевого масла и 3360 тонн отрубей</t>
  </si>
  <si>
    <t>302963478</t>
  </si>
  <si>
    <t>OOO "SHURKUL AQUA"</t>
  </si>
  <si>
    <t>Конимехский район</t>
  </si>
  <si>
    <t>Приобретение 100 штук плавучих шаровых аэраторов, 26500 кг мальков сазана, 1900 кг мальков белого амура и 7150 кг мальков толстолобика</t>
  </si>
  <si>
    <t>311821404</t>
  </si>
  <si>
    <t>OOO "VAR GANZA PARRANDA"</t>
  </si>
  <si>
    <t>Приобретение 1-дневных цыплят породы LOHMANN SANDY направления 50000 яиц, 8000 кг корма и добавок (всех видов), а также 107877 кг соевого шрота и 149595 кг подсолнечного шрота</t>
  </si>
  <si>
    <t>311813912</t>
  </si>
  <si>
    <t xml:space="preserve">АКБ "Бизнесни ривожлантириш банк" </t>
  </si>
  <si>
    <t>ООО "Avtologist"</t>
  </si>
  <si>
    <t>Приобретение тягача марки FAW JH6 - 1 ед.</t>
  </si>
  <si>
    <t>309979934</t>
  </si>
  <si>
    <t>ООО "Rustam Bobo - asl chorvasi"</t>
  </si>
  <si>
    <t>Приобретение - МРС породы "Гиссар" - 250 голов. и комбинированн.корм - 50 тонн.</t>
  </si>
  <si>
    <t>306525006</t>
  </si>
  <si>
    <t>ООО "Asl Qorabayir va chorva"</t>
  </si>
  <si>
    <t>Кукдалинский район</t>
  </si>
  <si>
    <t>Приобретение КРС (породы "Красный Эстон" - телки) - 100 голов.</t>
  </si>
  <si>
    <t>309704754</t>
  </si>
  <si>
    <t>ООО "Sadriddin Samandarovich"</t>
  </si>
  <si>
    <t>Приобретение сыроварен. котла - 2 ед., котлы по производству кефира (600 л.) - 2 ед., котлы по производству кефира (300л.) - 2 ед., 1 сепаратор (5 тонн.), генератор - 1 ед., инфлятор для бубликов DY-6L-2 - 1 ед., воздушный компрессор по 15 кВт - 1 ед. и анализатор Lactoscan - 1 ед.</t>
  </si>
  <si>
    <t>303324194</t>
  </si>
  <si>
    <t>ООО "Xalil chora"</t>
  </si>
  <si>
    <t>Приобретение КРС породы "Швиц" - 100 гол.</t>
  </si>
  <si>
    <t>305002547</t>
  </si>
  <si>
    <t>ООО "Buxoro Lobar jo'jalari"</t>
  </si>
  <si>
    <t>Приобретение автоматически и дистанционно управляемое оборудование по разведению птиц - 3 компл.</t>
  </si>
  <si>
    <t>304883576</t>
  </si>
  <si>
    <t>ООО "Kogon Eko Gold Chicken"</t>
  </si>
  <si>
    <t>Приобретение птицеводческого оборудования - 2 ед., охладительные установки (в ассортименте), сендвич панелей</t>
  </si>
  <si>
    <t>306316320</t>
  </si>
  <si>
    <t>ФХ "Jamshidbek Allayorov"</t>
  </si>
  <si>
    <t>Хонкинский район</t>
  </si>
  <si>
    <t>Приобретение с.х.техники: трактор марки "Arion 630C" - 1 ед.</t>
  </si>
  <si>
    <t>304003934</t>
  </si>
  <si>
    <t>ООО "Parranda export-savdo"</t>
  </si>
  <si>
    <t>Караулбазарский район</t>
  </si>
  <si>
    <t>Приобретение клеток для 65000 голов кур, вентиляционная система - 1 комп., контроль микроклимата - 1 комп., гофра для охлаждения - 1 комп.</t>
  </si>
  <si>
    <t>305906054</t>
  </si>
  <si>
    <t>ООО "Ko'xna Buxoro qurilish"</t>
  </si>
  <si>
    <t>206696952</t>
  </si>
  <si>
    <t>ООО "Kenta savdo"</t>
  </si>
  <si>
    <t>Приобретение шрота сои - 238,1 тонна</t>
  </si>
  <si>
    <t>300631765</t>
  </si>
  <si>
    <t>ООО "COMBO PROFIT"</t>
  </si>
  <si>
    <t>Приобретение следующих:
1. оборудование по производству кормов марки "Ortas" - 1 компл.;
2. оборудование с функцией автоматического поения и кормления цыплят-бройлеров - 3 компл.;
3. оборудование для кормления кур. 1 ед.</t>
  </si>
  <si>
    <t>307294380</t>
  </si>
  <si>
    <t xml:space="preserve">ООО "QOROVULBOZOR GOLD CHIK" </t>
  </si>
  <si>
    <t>Приобретение следующих: 1.оборудование кормления цыплят-бройлеров 1 ед.; 2.вентиляционная система 1 комп.; 3.контроль микроклимата - 1 комп.; 4.гофра для охлаждения - 1 комп.</t>
  </si>
  <si>
    <t>310041481</t>
  </si>
  <si>
    <t xml:space="preserve">ООО "SIFATLI JO'JA" </t>
  </si>
  <si>
    <t>Приобретение клеток для 60000 голов кур, вентиляционная система - 1 комп., контроль микроклимата - 1 комп., гофра для охлаждения - 1 комп.</t>
  </si>
  <si>
    <t>306665703</t>
  </si>
  <si>
    <t xml:space="preserve">ООО "Yangiyo'l Leader Agro Fruit" </t>
  </si>
  <si>
    <t>Приобретение КРС (породы "Голштин-Фриз" ) - 33 голов.</t>
  </si>
  <si>
    <t>304312669</t>
  </si>
  <si>
    <t>ООО "JAXONGIR BUSNES CLAS"</t>
  </si>
  <si>
    <t>Дангаранский район</t>
  </si>
  <si>
    <t>Приобретение 13 видов строительных материалов и 14 видов рыбоводной техники.</t>
  </si>
  <si>
    <t>309720893</t>
  </si>
  <si>
    <t>OOO "ANGUS PLYUS"</t>
  </si>
  <si>
    <t>Чортокский район</t>
  </si>
  <si>
    <t>Приобретение КРС (породы "швиц" ) - 130 голов.</t>
  </si>
  <si>
    <t>311026127</t>
  </si>
  <si>
    <t>OOO "BELARUS PARRANDA"</t>
  </si>
  <si>
    <t>Кгонский район</t>
  </si>
  <si>
    <t xml:space="preserve">Приобретение клеток для 18667 голов кур, </t>
  </si>
  <si>
    <t>300398723</t>
  </si>
  <si>
    <t>ФХ "AYBEK SHARUA"</t>
  </si>
  <si>
    <t>Приобретение КРС (породы местной - телки) - 30 голов.</t>
  </si>
  <si>
    <t>307530166</t>
  </si>
  <si>
    <t>ФХ "JUMAN TOLLI BOBO"</t>
  </si>
  <si>
    <t>г.Ургенч</t>
  </si>
  <si>
    <t>Приобретение КРС (породы симментал - телки) - 20 голов.</t>
  </si>
  <si>
    <t>204270306</t>
  </si>
  <si>
    <t>СФ "JASURBEK VA JAMSHEDBEK KELAJAGI"</t>
  </si>
  <si>
    <t>г.Навоий</t>
  </si>
  <si>
    <t xml:space="preserve">Приобретение МРС породы "Коракул" - 175 голов, </t>
  </si>
  <si>
    <t>308345030</t>
  </si>
  <si>
    <t>OOO "NAGIMETOV KOBLAN"</t>
  </si>
  <si>
    <t xml:space="preserve">Приобретение КРС породы "местные" (коровы) - 25 голов, </t>
  </si>
  <si>
    <t>308253344</t>
  </si>
  <si>
    <t>OOO "SA'DULLA OTA BEKNAZAROV"</t>
  </si>
  <si>
    <t>Дехканабадский район</t>
  </si>
  <si>
    <t xml:space="preserve">Приобретение МРС породы "гисарский" - 250 голов, </t>
  </si>
  <si>
    <t>307896011</t>
  </si>
  <si>
    <t>ЧФ "FAMILY GOLDEN GROUP NO 7"</t>
  </si>
  <si>
    <t>г.Карши</t>
  </si>
  <si>
    <t>Приобретение лошеди (породы корабайир) - 56 голов.</t>
  </si>
  <si>
    <t>309603627</t>
  </si>
  <si>
    <t>ЧФ "TOXIR"</t>
  </si>
  <si>
    <t>Шерободский район</t>
  </si>
  <si>
    <t>Приобретение КРС породы ангуст 18 гол, Швед породы 19 гол, смментал породы 13 нол нетил и 12 гол породы ангуст бечков</t>
  </si>
  <si>
    <t>201318672</t>
  </si>
  <si>
    <t>ФХ "SHAXRIZODA SHAXZODBEK SHOXJAXON"</t>
  </si>
  <si>
    <t xml:space="preserve">Приобретение КРС породы "симментал" (коровы) - 16 голов, </t>
  </si>
  <si>
    <t>302491274</t>
  </si>
  <si>
    <t>OOO "NORALI-OTA QO'RG'ONI"</t>
  </si>
  <si>
    <t xml:space="preserve">Приобретение МРС  325 самок овец гиссарской породы 250 голов, </t>
  </si>
  <si>
    <t>307055812</t>
  </si>
  <si>
    <t>ФХ "RASHID-JAMSHID-FARRUX KELAJAGI"</t>
  </si>
  <si>
    <t>Приобретение 3500 кг мальков белого толстолобика, 428,5 кг мальков белого амура, 384,5 кг мальков пестрого толстолобика и 5062,5 кг мальков сазана</t>
  </si>
  <si>
    <t>304294178</t>
  </si>
  <si>
    <t>АКБ "Хамкорбанк"</t>
  </si>
  <si>
    <t>ФХ "Beshbola Baxt Iqbol Nur"</t>
  </si>
  <si>
    <t>Приобретение с.х.техники марки "Беларус 82.1" - 2 ед.</t>
  </si>
  <si>
    <t>206615015</t>
  </si>
  <si>
    <t>ООО "Tikbuloq baraka chorva"</t>
  </si>
  <si>
    <t>Приобретение МРС (породы "Хисори" - бараны) - 240 голов.</t>
  </si>
  <si>
    <t>303475578</t>
  </si>
  <si>
    <t>ФХ "Farizoda Gulzorlari"</t>
  </si>
  <si>
    <t>г.Ургут</t>
  </si>
  <si>
    <t>Приобретение универсального колесного трактора марки Беларусь-311 - 1 ед. и грузовой автомобиль закрытий металлический марки Isuzu NPR 82L - 1 ед.</t>
  </si>
  <si>
    <t>ООО "Oq oltin fish 1968"</t>
  </si>
  <si>
    <t>Приобретение холодильника (контейнер), бассейн, строительные и хозяйственные товары в целях развития рыбоводства</t>
  </si>
  <si>
    <t>310298921</t>
  </si>
  <si>
    <t>ФХ "Xamid Chorvachilik Voxasi"</t>
  </si>
  <si>
    <t>Приобретение с.х.техники: трактор марки "Беларусь 82.1" - 2 ед., измельчитель корма (12 м3) - 1 ед.</t>
  </si>
  <si>
    <t>300170003</t>
  </si>
  <si>
    <t>ООО "Yurt rizqi-naslchilik"</t>
  </si>
  <si>
    <t>Касбинский район</t>
  </si>
  <si>
    <t>оборудвание</t>
  </si>
  <si>
    <t>оборудование для производства кормов для животных (КСД 2.0) - 1 ед., кормосмеситель - 1 ед., полевой опрыскиватель на 600 литров - 1 ед.</t>
  </si>
  <si>
    <t>205959807</t>
  </si>
  <si>
    <t>ДХ "Maftuna chorva fayz"</t>
  </si>
  <si>
    <t xml:space="preserve">приобретение КРС породы "Голштейн" - 30 голов, МРС породы "Гиссар" - 900 голов, </t>
  </si>
  <si>
    <t>304037930</t>
  </si>
  <si>
    <t>ООО "Temur Tulagan ko'chat va nihollari" (сублойиҳа давоми)</t>
  </si>
  <si>
    <t>приобретение КРС (породы Голштин) - 99 гол., селхозтехника - трактор марки "Беларус-82.1" (2 ед.), трактор марки "Беларус-1025.12" (1 ед.), кукурозоуборочный комбайн марки "КЕ 125" - (1 ед.)</t>
  </si>
  <si>
    <t>302916653</t>
  </si>
  <si>
    <t>ООО "AHADOV DAMIR 92"</t>
  </si>
  <si>
    <t>город Самараканд</t>
  </si>
  <si>
    <t>приобретение цыплят и 100 тн. корма для цыплты</t>
  </si>
  <si>
    <t>309932409</t>
  </si>
  <si>
    <t xml:space="preserve">"SOBIROV BOXODIRJON MAXAMADJONOVICH"ДХ </t>
  </si>
  <si>
    <t>Қўштепа район</t>
  </si>
  <si>
    <t>Приобретение КРС (породы Голштин-нетель) - 40 гол.</t>
  </si>
  <si>
    <t>479590615</t>
  </si>
  <si>
    <t>ФХ "BOYXONBOY-OTA"</t>
  </si>
  <si>
    <t>Намаганский район</t>
  </si>
  <si>
    <t xml:space="preserve">Приобретение мука и отруби для КРС </t>
  </si>
  <si>
    <t>204821584</t>
  </si>
  <si>
    <t>OOO "MUHABBAT SARVAR FAYZ"</t>
  </si>
  <si>
    <t>Оқдаринский район</t>
  </si>
  <si>
    <t>Приобретение 250 тн корм для птиц</t>
  </si>
  <si>
    <t>302599029</t>
  </si>
  <si>
    <t>OOO "TAYLOQ FAYZ PARRANDA"</t>
  </si>
  <si>
    <t>Тайлокский район</t>
  </si>
  <si>
    <t xml:space="preserve">Приобретение соевый шрот, подсолнечный шрот, хлопоковый шрот, мука, отруби и комбикорм   </t>
  </si>
  <si>
    <t xml:space="preserve">303375813 </t>
  </si>
  <si>
    <t>ФХ "CHORVADOR OMAD ZAMINI"</t>
  </si>
  <si>
    <t>Приобретение КРС (породы Голштин-Симентал. Швец) - 32 гол.</t>
  </si>
  <si>
    <t>302982218</t>
  </si>
  <si>
    <t>ФХ "BAXT IMKON RIVOJ CHORVASI"</t>
  </si>
  <si>
    <t>Отинкулский район</t>
  </si>
  <si>
    <t>Приобретение КРС (породы Голштин) - 370 гол.</t>
  </si>
  <si>
    <t>301872806</t>
  </si>
  <si>
    <t>ООО "CMT-SPEKTR-YOIM"</t>
  </si>
  <si>
    <t>Строительство пруды для разведения рыбыого.</t>
  </si>
  <si>
    <t>201831692</t>
  </si>
  <si>
    <t xml:space="preserve">ФХ “CHINOZ AKBAR FAYZ” </t>
  </si>
  <si>
    <t>Купить мальков 10 500 кг и кормов для рыбы</t>
  </si>
  <si>
    <t>ФХ "Qashqa suv bulog'I"</t>
  </si>
  <si>
    <t>Приобретение МРС 500 гол.</t>
  </si>
  <si>
    <t>305850996</t>
  </si>
  <si>
    <t>ФХ "SAN'AT CHICKEN GOLD"</t>
  </si>
  <si>
    <t>Иштихонский район</t>
  </si>
  <si>
    <t>Приобретение цыплят 5.000 ед.</t>
  </si>
  <si>
    <t>305217524</t>
  </si>
  <si>
    <t>OOO "G'OZYEV NO'MONJON"</t>
  </si>
  <si>
    <t>Қўрғонтепенский район</t>
  </si>
  <si>
    <t>Приобретение трактор Беларус 82.1 кондиционер 1ед, 4-рядная пневматическая техника посева 1ед, Культиватор КОН-2,8 А 1ед,  600 IT-оборудование, распыляющее жидкие лекарства в поле 1ед</t>
  </si>
  <si>
    <t>206439510</t>
  </si>
  <si>
    <t>ФХ "Baxt Imkon Rivoj Chorvasi"</t>
  </si>
  <si>
    <t>Приобритение семян кукурузы 35.55 тонн</t>
  </si>
  <si>
    <t>OOO "GULZORDA BARAKALI BALIQ"</t>
  </si>
  <si>
    <t>Приобретение комбикорма</t>
  </si>
  <si>
    <t>306927534</t>
  </si>
  <si>
    <t>ФХ "CHASHMASI SAFED PARRANDA"</t>
  </si>
  <si>
    <t>Приобретение кормавой дрожа 43.5 тонн , Монокалсий фосфат 6.0 тонн, Шрот рапсовий 15.0 тонн, Кормовой добавка 1.5 тонн, Масло подсолнечное 20.0 тонн, Шрот подсолнечний 108.0 тонн, Пшенитса 81.0 тонн, Шрот сойевий 9.4 тонн</t>
  </si>
  <si>
    <t>304984403</t>
  </si>
  <si>
    <t>СП АО "O’RTACHIRCHIQ-PARRANDA"</t>
  </si>
  <si>
    <t>Покупка 6 868 кг комбикорма с полным пайком и 75 000 7-дневных цыплят</t>
  </si>
  <si>
    <t>200582086</t>
  </si>
  <si>
    <t xml:space="preserve">OOO “QARAQALPAQ BETON BUYIMLARI” </t>
  </si>
  <si>
    <t>Город Нукус</t>
  </si>
  <si>
    <t xml:space="preserve">Приобритение оборудование для производства кормов для рыбы Экструдер и Драбилка, 13117 кг сырья для кормовых гранул (Соевый шрот), 5028 кг сырья (Горох), 1000 кг сырья (Рыбная мука) и 500 кг сырья (Мясокостная мука), 500 кг сырья </t>
  </si>
  <si>
    <t>306830269</t>
  </si>
  <si>
    <t>OOO "GOLDEN FOOD"</t>
  </si>
  <si>
    <t>Купить солнечные панели 240 кВт 1 комплект, Примекс 13769,44 кг, масло подсолнечное 78940 кг и рономикс 30000 кг.</t>
  </si>
  <si>
    <t>305854516</t>
  </si>
  <si>
    <t>ФХ “Rojn milk”</t>
  </si>
  <si>
    <t>Асакинский район</t>
  </si>
  <si>
    <t>Приобритение 472 тонн молока как сырья для переработки</t>
  </si>
  <si>
    <t>304872344</t>
  </si>
  <si>
    <t>ЧФ "UMID"</t>
  </si>
  <si>
    <t>Приобритение 2 комплект птицеводическое обородвание пердназначено для содержания и выращивания с/х птицы (бройлерного стада)</t>
  </si>
  <si>
    <t>200281611</t>
  </si>
  <si>
    <t>ООО "FARM EXPERT FAMILY"</t>
  </si>
  <si>
    <t>Псикентский район</t>
  </si>
  <si>
    <t>Приобретение трактор Беларус 82.1 кондиционер 1ед,</t>
  </si>
  <si>
    <t>310286937</t>
  </si>
  <si>
    <t>"Oq suv" ФХ</t>
  </si>
  <si>
    <t>Кургантепенский район</t>
  </si>
  <si>
    <t>Приобритение машин для производства сыра мощностью 50 тонн молока в сутки и машин для производства маслопродуктов мощностью 1750 литров в сутки.</t>
  </si>
  <si>
    <t>201306079</t>
  </si>
  <si>
    <t>Приобритение автоматизированного упаковочного оборудования для производства сыра, а также стенда-гомогенизатора (3000л/с) и стенда для розлива клея, 40 охладителей молока и складского оборудования (160л)</t>
  </si>
  <si>
    <t>OOO "VELLA ELEGANT"</t>
  </si>
  <si>
    <t>г.Андижан</t>
  </si>
  <si>
    <t>Приобритение Измельчитель-смеситель-раздатчик кормов МН-120М (ИСРК-12Ф) 2024 года выпуска 2 шт</t>
  </si>
  <si>
    <t>300648205</t>
  </si>
  <si>
    <t>Оборотные средства на приобретение кормов для птицеводства</t>
  </si>
  <si>
    <t>ООО "ШОДЛИК КАМАЛК ЖИЛОСИ"</t>
  </si>
  <si>
    <t>Приобритения Трактор марка YTO 354 без кабины 1 шт</t>
  </si>
  <si>
    <t>300389654</t>
  </si>
  <si>
    <t>ФХ "MARXAMAT RAVNAQI"</t>
  </si>
  <si>
    <t>Мархаматский район</t>
  </si>
  <si>
    <t>Приобретение КРС (породы Голштин) - 164 гол.</t>
  </si>
  <si>
    <t>206199479</t>
  </si>
  <si>
    <t>OOO "QARAQALPAQ BETON BUYUMLARI"</t>
  </si>
  <si>
    <t xml:space="preserve">Приобритение водяной насос QY600-6.5-154Z1 1 шт, водяной насос AST65-125/75 3 шт, фильрт для воды 6STAGE RO SYSTEM 6-тиступенчатая система обратного осмоса 2 шт, Аэротор для рыбоводства четырёх лопстной 3 шт, Автокармушка для рыбоводства 80 кг 3 шт, 1 тонн мальков рыб, 1 тонна рыибные согалетки, 3 тонна шрот хлопковый, 2 тонна премикс для скот,  </t>
  </si>
  <si>
    <t>ФХ "JALOLIDDIN GOIPOV"</t>
  </si>
  <si>
    <t>Приобритение солничний панелий</t>
  </si>
  <si>
    <t>204692327</t>
  </si>
  <si>
    <t>Приобретение КРС (породы Голштин) - 38 гол.</t>
  </si>
  <si>
    <t>ФХ "BESH BOLA BAXT IQBOL NUR"</t>
  </si>
  <si>
    <t>Приобритение дополнительное оборудование для 9 видов сельскохозяйственной техники</t>
  </si>
  <si>
    <t>ФХ "CHASHMAI SAFED PARRANDA"</t>
  </si>
  <si>
    <t>Приобритение клетгка дла разведений куриий 36288 колиства 1 шт,</t>
  </si>
  <si>
    <t>OOO "SEVIMLI MUSAFFO MILK"</t>
  </si>
  <si>
    <t>Приобритение Пеймак 2000 литровий вертекалний охлаждател малака 1 шт, Турция</t>
  </si>
  <si>
    <t>306218814</t>
  </si>
  <si>
    <t>OOO "TEGEN PARRANDA"</t>
  </si>
  <si>
    <t>Урточирчик район</t>
  </si>
  <si>
    <t>Приобритение пшинци, соявий шрот и вакциний.</t>
  </si>
  <si>
    <t>301657842</t>
  </si>
  <si>
    <t>ЧФ "BILLUR PARVOZ"</t>
  </si>
  <si>
    <t>Город Фергана</t>
  </si>
  <si>
    <t>Приобритение охлаждаемого оборудования с мощностью 720 тонн</t>
  </si>
  <si>
    <t>ФХ "DAVRON-SAVR-SOY"</t>
  </si>
  <si>
    <t>Приобретение КРС 18 гол (парода симментал нетеил)</t>
  </si>
  <si>
    <t>ФХ "DAVRON-PO'LATBEK"</t>
  </si>
  <si>
    <t>ЧФ "JASUR UMID SERVIS"</t>
  </si>
  <si>
    <t>город Гулистон</t>
  </si>
  <si>
    <t>Приобритение холадилний обародвиния модел HAIER SD 605 FPEL 50 шт и HAIER SD 516 AE 50 шт</t>
  </si>
  <si>
    <t>ДХ "KADIROV G'LOMJON YULDASHVAYEVICH"</t>
  </si>
  <si>
    <t>Приобретение КРС 8 гол (парода швед нетеил)</t>
  </si>
  <si>
    <t>ЧФ "SUNLIGHT SERVIS"</t>
  </si>
  <si>
    <t>Ургенчский район</t>
  </si>
  <si>
    <t>Приобритение кормов для кур</t>
  </si>
  <si>
    <t>Снятые средства с ФАР по кредитным линиям</t>
  </si>
  <si>
    <t>Сумма одобренных суб-проектов по всем банкам</t>
  </si>
  <si>
    <t>Остаток снятых средств по кредитным линиям ФАР</t>
  </si>
  <si>
    <t>Приобретение КРС 25 гол (парода симментал нетеил)</t>
  </si>
  <si>
    <t>Общая сумма проекта 
(тыс. долларов США)</t>
  </si>
  <si>
    <t>Сумма кредита 
(тыс. долларов США)</t>
  </si>
  <si>
    <t>Вклад бенефициара
(тыс. долларов США)</t>
  </si>
  <si>
    <t>АТБ “Микрокредитбанк”</t>
  </si>
  <si>
    <t>ООО "Mirishkor Pokiza Mahsulotlari"</t>
  </si>
  <si>
    <t>Птицеводство</t>
  </si>
  <si>
    <t>Закупка 14 000 кур-несушек и 200 тонн комбикорма</t>
  </si>
  <si>
    <t>305295935</t>
  </si>
  <si>
    <t>ООО "SURXON-AGRO MAJMUASI"</t>
  </si>
  <si>
    <t>Музуроботский район</t>
  </si>
  <si>
    <t>Животноводства</t>
  </si>
  <si>
    <t>Приобретение 10 эстонских быков и 280 племенных телят лимузин-шароле, а также 1 экскаватора-погрузчика М544 и 2 приводных машин ARION 630C.</t>
  </si>
  <si>
    <t>307269767</t>
  </si>
  <si>
    <t>OOO "AGRO CHORVA BARAKA KOMPLEKSI"</t>
  </si>
  <si>
    <t>Музрабатский район</t>
  </si>
  <si>
    <t>Приобретение 10 быков эстонской породы и 300 телят лимузин-шароле, 1 трактор Беларус-80Х и 1 трактор Беларус-82.1, спецтехника для перевозки воды HOWO 10 кубов, 8 прицепов, 1 ротационный плуг 3-1, 2 ARION техники 630С</t>
  </si>
  <si>
    <t>307345300</t>
  </si>
  <si>
    <t>ООО "OLMACHI POLIMERI"</t>
  </si>
  <si>
    <t>Джизакская область</t>
  </si>
  <si>
    <t>Закупка 20 голов местного крупного рогатого скота и 536 голов местного мелкого рогатого скота.</t>
  </si>
  <si>
    <t>301317212</t>
  </si>
  <si>
    <t>OOO "MA'MUR VET-AGRO KLASSTER"</t>
  </si>
  <si>
    <t>Оққурганский район</t>
  </si>
  <si>
    <t>Приобретение 245 голов крупного рогатого скота голштинской породы и 40 быков.</t>
  </si>
  <si>
    <t>300551414</t>
  </si>
  <si>
    <t>Зарбдорский район</t>
  </si>
  <si>
    <t>Рыбоводство</t>
  </si>
  <si>
    <t>Приобретение комбикормов для рыбы 421,1 тонны</t>
  </si>
  <si>
    <t>OOO "MANG'IT-TEXNOLOGIYA"</t>
  </si>
  <si>
    <t>Приобретение комбикормов для рыбы 84.5 тонны</t>
  </si>
  <si>
    <t>302838742</t>
  </si>
  <si>
    <t>OOO "JAVLON JAYRONA"</t>
  </si>
  <si>
    <t>Попский район</t>
  </si>
  <si>
    <t>Закупка 60 голов Швейцарского КРС.</t>
  </si>
  <si>
    <t>311162101</t>
  </si>
  <si>
    <t>OOO "JAHON FAYZ INVEST"</t>
  </si>
  <si>
    <t>Тойлокский район</t>
  </si>
  <si>
    <t>Приобретениия 61,6 тыс. цыплят-бройлеров и 268,6 тыс. кг комбикормов для птицы.</t>
  </si>
  <si>
    <t>302078479</t>
  </si>
  <si>
    <t>OOO "ZARAFSHON BO'RDOQICHILIK"</t>
  </si>
  <si>
    <t>Кизилтепенский район</t>
  </si>
  <si>
    <t>Пшеница 3 класс (уражай 2024) 30 тонн, Шелуха хлопковая (тип сделки-Форвард) 95тонн, Шрот хлопоковқй 1-сорта (тип сделки-Форвард) 135 тонн, Масло хлопковое рафициров дезод. Пресс 1-сорта фасов ПЭТ 4.2 литр 25тонн.</t>
  </si>
  <si>
    <t>203137264</t>
  </si>
  <si>
    <t>OOO "DONIYORBEK SALAEV"</t>
  </si>
  <si>
    <t>Хиваский район</t>
  </si>
  <si>
    <t>Закуплено 3983 ед. оборудования и расходных материалов, 1 комплект оборудования для выращивания кур и 54018,4 кг комбикормов.</t>
  </si>
  <si>
    <t>206800324</t>
  </si>
  <si>
    <t>Пахтабодский район</t>
  </si>
  <si>
    <t>Приобретение 160 тонн комбикорма, 345,823 тонны соевого шрота, пшеничного и фисташкового масла</t>
  </si>
  <si>
    <t>OOO "ASL-ISHONCH-CHORVA"</t>
  </si>
  <si>
    <t>Закупка 500 голов мелкого рогатого скота.</t>
  </si>
  <si>
    <t>310363722</t>
  </si>
  <si>
    <t>OOO "MEXRIDDIN"</t>
  </si>
  <si>
    <t>Закупка 150 голов мелкого рогатого скота.</t>
  </si>
  <si>
    <t>200572430</t>
  </si>
  <si>
    <t>OOO "QO'SHKO'PIR PARRANDA"</t>
  </si>
  <si>
    <t>Кушкупирский район</t>
  </si>
  <si>
    <t>Закупка инкубационного оборудования, инкубационных яиц 5 000 000 шт, цыплят в возрасте 1 дня 10 000 000 шт охлаждающего оборудования.</t>
  </si>
  <si>
    <t>302335704</t>
  </si>
  <si>
    <t>ООО "UMID"</t>
  </si>
  <si>
    <t>Янгийулский район</t>
  </si>
  <si>
    <t>6 комплектов техники на 25 000 голов птицы, 8 комплектов техники на 30 000 голов птицы, 1 зернохранилище, 1 грузовой прицеп, 2 тягача Беларус 82.1 и Белдарус 320.4, 1 городской автобус САЗ HC45 и бескузовное шасси Isuzu NQR 90- Купить Л-Л Комфорт</t>
  </si>
  <si>
    <t>200587657</t>
  </si>
  <si>
    <t>ООО "INTER AGRO BROILER BREEDERS"</t>
  </si>
  <si>
    <t>Закупка 326 000 однодневных цыплят.</t>
  </si>
  <si>
    <t>308923751 </t>
  </si>
  <si>
    <t>OOO "STOMA GOLD TREVEL 88"</t>
  </si>
  <si>
    <t>Закупка 570 голов мелкого рогатого скота.</t>
  </si>
  <si>
    <t>310061022</t>
  </si>
  <si>
    <t>OOO "FARXOD-SUHROB"</t>
  </si>
  <si>
    <t>Закупка 120 голов мелкого рогатого скота.</t>
  </si>
  <si>
    <t>206238380</t>
  </si>
  <si>
    <t>ООО "KONIMEX CHORVADORI"</t>
  </si>
  <si>
    <t>Закупка 224 голов мелкого рогатого скота.</t>
  </si>
  <si>
    <t>300713544</t>
  </si>
  <si>
    <t>OOO "SHIMGAN STAR 79"</t>
  </si>
  <si>
    <t>Учкурганский район</t>
  </si>
  <si>
    <t>Закупка 32 телок швейцарской коричневой породы, импортированных из Австрии.</t>
  </si>
  <si>
    <t>310303993</t>
  </si>
  <si>
    <t>OOO "ECO FISH FRIENDS"</t>
  </si>
  <si>
    <t>Андижанская район</t>
  </si>
  <si>
    <t>Приобретение мальков карпа 200 000 кг.</t>
  </si>
  <si>
    <t>OOO "OQTOSH ERKIN PARRANDA"</t>
  </si>
  <si>
    <t>Бустонликскйи район</t>
  </si>
  <si>
    <t>Приобретение 500 тонн Доржжи кормовые (гранулы)</t>
  </si>
  <si>
    <t>308041742</t>
  </si>
  <si>
    <t>Приобретение 1 комплекта комплексной линии для выращивания цыплят</t>
  </si>
  <si>
    <t>OOO "VITA MIX NUTRITION"</t>
  </si>
  <si>
    <t>Шахриханский район</t>
  </si>
  <si>
    <t>Приобритение 330 000 суточных цыплят.</t>
  </si>
  <si>
    <t>304578392</t>
  </si>
  <si>
    <t>OOO "KOSON GOLD BIZNES XIZMAT"</t>
  </si>
  <si>
    <t>Приобретение 360 МРС.</t>
  </si>
  <si>
    <t>309853395</t>
  </si>
  <si>
    <t>OOO "DO'STMUROD FAYZ BARAKA SAVDO"</t>
  </si>
  <si>
    <t>Приобретение 65 КРС. Порода Швед</t>
  </si>
  <si>
    <t>303354965</t>
  </si>
  <si>
    <t>OOO "BALTABAY TLEUMURATOV"</t>
  </si>
  <si>
    <t>Чимбойский район</t>
  </si>
  <si>
    <t>Приобретение 28 КРС.Парода Швед</t>
  </si>
  <si>
    <t>307209681</t>
  </si>
  <si>
    <t>ООО "KARMANA OQ TULPOR"</t>
  </si>
  <si>
    <t>Приобретение 50 КРС.</t>
  </si>
  <si>
    <t>307405565</t>
  </si>
  <si>
    <t>OOO "ALINUR TEXNIKA"</t>
  </si>
  <si>
    <t>Коракулский район</t>
  </si>
  <si>
    <t>Сельхозтехника</t>
  </si>
  <si>
    <t xml:space="preserve">Приобретение 1 шт HOWO A7 модель ZZ4257N3847C1C 420 Еваро-5, 1 шт полуприцеп самозагружающийся марки (LUCHI) модели LC9404Z длиной 13 метров. </t>
  </si>
  <si>
    <t>311515579</t>
  </si>
  <si>
    <t>OOO "CHINOR"</t>
  </si>
  <si>
    <t>Приобретение 172 КРС.</t>
  </si>
  <si>
    <t>203677914</t>
  </si>
  <si>
    <t>OOO "KHOREZM LOGISTIC SERVICE"</t>
  </si>
  <si>
    <t>Приобретение  2 шт тягач марка "Mercedes Bens Actros", 2 шт рефрижратор марка "Schmitz Cargobull SKO 24".</t>
  </si>
  <si>
    <t>311265811</t>
  </si>
  <si>
    <t>Приобретение 2 единицы грузового автомобиля модели HOWO-V5X, 2 единицы автомобиля-рефрижератора модели HOWO-V56X, 2 единицы бортовой автоплатформы модели SINOTRUK HOMAN-H3, 2 единицы грузового автомобиля модели KAMA KMC1099UZ, 6 единиц модели CHANGAN SC1032TUZ55 грузовой автомобиль.</t>
  </si>
  <si>
    <t>ФХ "BOBOYEVA MUNAVVAR ZAMINI"</t>
  </si>
  <si>
    <t>Приобретение 107 КРС.</t>
  </si>
  <si>
    <t>302824261</t>
  </si>
  <si>
    <t>OOO "INTER AGRO"</t>
  </si>
  <si>
    <t>(Самаркандская область)  
Ташкентская область</t>
  </si>
  <si>
    <t>Приобритение 22 комплектов по 160 стад племенной птицы, специального холодильного оборудования и оборудования для хранения кормов (зерна), (силоса 26 000 тонн).</t>
  </si>
  <si>
    <t>OOO "SANGZOR-POULTRY"</t>
  </si>
  <si>
    <t>Галлаоролский район</t>
  </si>
  <si>
    <t>Приобритение Куры 90 дней 100000 шт и Соя  шрот 407030 кг.</t>
  </si>
  <si>
    <t>302445195</t>
  </si>
  <si>
    <t>OOO "SOHIBKOR-NASLLI-PARRANDA"</t>
  </si>
  <si>
    <t>город Бухара</t>
  </si>
  <si>
    <t>Приобритение цыплята-бройлеры 35 087 шт и 137791 кг.</t>
  </si>
  <si>
    <t>306997614</t>
  </si>
  <si>
    <t>OOO "OZOD YAHYO"</t>
  </si>
  <si>
    <t>Приобритение цыплята-бройлеры 100 000 шт</t>
  </si>
  <si>
    <t>308590384</t>
  </si>
  <si>
    <t>ФХ "CHINOR"</t>
  </si>
  <si>
    <t>Приобритение 1300 тонн пшеницы.</t>
  </si>
  <si>
    <t>301562352</t>
  </si>
  <si>
    <t>ООО "JASURBEK ANVARJON UMIDI"</t>
  </si>
  <si>
    <t>Жалкудукский район</t>
  </si>
  <si>
    <t>Приобритение КРС 77</t>
  </si>
  <si>
    <t>307377499</t>
  </si>
  <si>
    <t>ЧФ "ZUFARBEK-ZOIRBEK"</t>
  </si>
  <si>
    <t>Уйчиский район</t>
  </si>
  <si>
    <t>Молокаводство</t>
  </si>
  <si>
    <t>Приобретение 12 единиц оборудования по переработке молока.</t>
  </si>
  <si>
    <t>303299148</t>
  </si>
  <si>
    <t>ФХ "GULBOG'-RIZQI-DUR-RA'NO"</t>
  </si>
  <si>
    <t>Приобритение КРС 37</t>
  </si>
  <si>
    <t>206269264</t>
  </si>
  <si>
    <t>OOO "BARAKABOBO"</t>
  </si>
  <si>
    <t>Приобритение КРС 33, красний Эстон</t>
  </si>
  <si>
    <t>202801468</t>
  </si>
  <si>
    <t>OOO "INTER AGRO BUXORO"</t>
  </si>
  <si>
    <t>Приобритение 256 410 шт инкубационных яиц для развития птицеводства.</t>
  </si>
  <si>
    <t>307476906</t>
  </si>
  <si>
    <t>ХК "SAIDIKROM OTA"</t>
  </si>
  <si>
    <t>Приобритение 52 КРС телки шведской породы.</t>
  </si>
  <si>
    <t>203694181</t>
  </si>
  <si>
    <t>OOO "GREENSULFAKRETE"</t>
  </si>
  <si>
    <t>Жаркургансикий район</t>
  </si>
  <si>
    <t>Приобритение шрота соевого 1210,19 тонн, пшеницы 486,10 тонн, подсолнечный масло 30 тонн и шрота соевого 61,81 тонны.</t>
  </si>
  <si>
    <t>307400454</t>
  </si>
  <si>
    <t>OOO "VOXA TADBIRKORI"</t>
  </si>
  <si>
    <t>Пактакорский район</t>
  </si>
  <si>
    <t>Приобритение 45 телки и 50 бычков. МРС 700,</t>
  </si>
  <si>
    <t>307268505</t>
  </si>
  <si>
    <t>ФХ "KOSONSOY ISTIQLOL PARRANDA"</t>
  </si>
  <si>
    <t>Наманганский район</t>
  </si>
  <si>
    <t xml:space="preserve">Приобритение цыплята 50 000 шт. (Lohmann Breeders 120 днев.)  </t>
  </si>
  <si>
    <t>302607261</t>
  </si>
  <si>
    <t>OOO "COTTON OIL SOAP"</t>
  </si>
  <si>
    <t>Приобритение КРС 403 шт (Голштейн нетил)</t>
  </si>
  <si>
    <t>307023116</t>
  </si>
  <si>
    <t>ФХ "GOOD FISHERMAN"</t>
  </si>
  <si>
    <t>Приобретение 224000 кг племенных мальков сазана</t>
  </si>
  <si>
    <t>306475504</t>
  </si>
  <si>
    <t>(Андижанская область)
Республика Каракалпакстан</t>
  </si>
  <si>
    <t>(Асакинский район) Кегейлинский район</t>
  </si>
  <si>
    <t>Приобретение 1 единицы техники для приготовления комбикормов, строительных материалов для строительства курятника, труб и железных профилей, сэндвич-панелей, а также автоматизированного оборудования для содержания и кормления кур-несушек и цыплят</t>
  </si>
  <si>
    <t>OOO "DODIQ-INVEST"</t>
  </si>
  <si>
    <t>Чирақчинский район</t>
  </si>
  <si>
    <t>Приобритение КРС 87 шт (Симментал нетил)</t>
  </si>
  <si>
    <t>307002600</t>
  </si>
  <si>
    <t>OOO "NURALI OTA FAYZ CHORVASI"</t>
  </si>
  <si>
    <t>Нишонский район</t>
  </si>
  <si>
    <t>Приобритение КРС 50 шт (нетил)</t>
  </si>
  <si>
    <t>307812756</t>
  </si>
  <si>
    <t>OOO "BARAKA CHORVASI 707"</t>
  </si>
  <si>
    <t>Приобритение  МРС 780,</t>
  </si>
  <si>
    <t>310201076</t>
  </si>
  <si>
    <t>OOO "EL-NASR"</t>
  </si>
  <si>
    <t>Гиживонский район</t>
  </si>
  <si>
    <t>Приобритение КРС 63 шт быки (Симментал) и КРС 125 шт (Симментал нетил)</t>
  </si>
  <si>
    <t>311707039</t>
  </si>
  <si>
    <t>СП "ROYAL CHICKEN BIZNES"</t>
  </si>
  <si>
    <t>город Карши</t>
  </si>
  <si>
    <t>Приобритение цеплята 16800 голов</t>
  </si>
  <si>
    <t>306339846</t>
  </si>
  <si>
    <t>OOO "BEST AGRO TRANS LYUKS"</t>
  </si>
  <si>
    <t>Шофирконский район</t>
  </si>
  <si>
    <t>Приобритение  51 голова лошадей черной лошадиной породы и 180 голов овец мелкой гисарский породы</t>
  </si>
  <si>
    <t>304651080</t>
  </si>
  <si>
    <t>OOO "GSGMA"</t>
  </si>
  <si>
    <t>Приобретение КРС 700 голова Ангус, Швиц, Симментал, Герефорд, Аулиеколь, Голиштин породы и реконструкция ферма.</t>
  </si>
  <si>
    <t>311750984</t>
  </si>
  <si>
    <t>OOO "E'ZOZ GAZ SERVIS"</t>
  </si>
  <si>
    <t>Янгикурганский район</t>
  </si>
  <si>
    <t>Приобритение КРС 125 шт (Симментал нетил)</t>
  </si>
  <si>
    <t>303493310</t>
  </si>
  <si>
    <t xml:space="preserve">ЧФ "KESH CITY BUSINESS" </t>
  </si>
  <si>
    <t>Шахрисабизский район</t>
  </si>
  <si>
    <t>Приобритение 35 000 голов однодневных цыплят, 3 вида кормов для птицы</t>
  </si>
  <si>
    <t>309759764</t>
  </si>
  <si>
    <t>OOO "ELSEVAR INVES"</t>
  </si>
  <si>
    <t>Нурободский район</t>
  </si>
  <si>
    <t>Приобритение  МРС 170 (Гиссарский),</t>
  </si>
  <si>
    <t>309752901</t>
  </si>
  <si>
    <t>OOO "MEHR AGRO MILK"</t>
  </si>
  <si>
    <t>Чустский район</t>
  </si>
  <si>
    <t>Приобритение КРС 63 шт (Симментал нетил)</t>
  </si>
  <si>
    <t>308912583</t>
  </si>
  <si>
    <t>ФХ "MALIKA AFRO'ZA"</t>
  </si>
  <si>
    <t>Окдареский район</t>
  </si>
  <si>
    <t>Приобритение КРС 56 шт (Симментал нетил)</t>
  </si>
  <si>
    <t>OOO "ABDULAZIZ ZOKIROVICH CHORVASI"</t>
  </si>
  <si>
    <t>306170631</t>
  </si>
  <si>
    <t>OOO "VORIS-XURSHIT"</t>
  </si>
  <si>
    <t>Приобритение 400 тонн гранулированных комбикормов.</t>
  </si>
  <si>
    <t>301842454</t>
  </si>
  <si>
    <t xml:space="preserve">OOO "BIZNES KELAJAK-777  </t>
  </si>
  <si>
    <t xml:space="preserve">Шурчинский район </t>
  </si>
  <si>
    <t>Приобритение 20 000 голов однодневных цыплят, оборудование для кормления и ухода 25 видов, кормов для птицы</t>
  </si>
  <si>
    <t>308532503</t>
  </si>
  <si>
    <t>ФХ "NAVRO'Z"</t>
  </si>
  <si>
    <t>Мингбулокский район</t>
  </si>
  <si>
    <t>Приобретение 400 метров клеевых труб, 10000 метров электропередатчиков и 5 единиц водяных насосов ,2500 кг мальков белого амура, 2000 кг мальков сазана, 2000 кг мальков толстолобика, мальков черного пистроя и экскаваторные услуги</t>
  </si>
  <si>
    <t>200070637</t>
  </si>
  <si>
    <t>ФХ "GOLDEN FISH INDUSTRY"</t>
  </si>
  <si>
    <t>Горд Жиззах</t>
  </si>
  <si>
    <t>Приобритнеие маков африканский сом 21 778 кг, 175 750 кг гранулировиний комбикорм.</t>
  </si>
  <si>
    <t>305786901</t>
  </si>
  <si>
    <t>ЧФ "PARPIYEV MUHAMMADJON BALIQCHILIK"</t>
  </si>
  <si>
    <t>Приобретение минеральные удобрения</t>
  </si>
  <si>
    <t>200087464</t>
  </si>
  <si>
    <t>OOO "KOROSKON MEGA BROLLER"</t>
  </si>
  <si>
    <t xml:space="preserve">Приобритение 333 333 голов однодневных цыплят, Росс-308 </t>
  </si>
  <si>
    <t>310709029</t>
  </si>
  <si>
    <t>OOO "MIRZAOBOD BROYLER"</t>
  </si>
  <si>
    <t>Приобретение линии автоматически управляемого оборудования в количестве 23 комплектов, предназначенного для кормления кур-несушек, получения от них яиц и выведения из яиц цыплят-бройлеров</t>
  </si>
  <si>
    <t>303050649</t>
  </si>
  <si>
    <t>АТ “Халқ банки”</t>
  </si>
  <si>
    <t>OOO "Sobirovlar Davomchisi"</t>
  </si>
  <si>
    <t xml:space="preserve">Ферганская область </t>
  </si>
  <si>
    <t>Данғаранский район</t>
  </si>
  <si>
    <t>Приобретение комбикормов для КРС 504.5 тонны</t>
  </si>
  <si>
    <t>303775386</t>
  </si>
  <si>
    <t xml:space="preserve">ФХ "ЭРКИНОБОД" </t>
  </si>
  <si>
    <t>Нуратинский район</t>
  </si>
  <si>
    <t>Закупка 250 голов мелкого рогатого скота.</t>
  </si>
  <si>
    <t>203796878</t>
  </si>
  <si>
    <t>СФ "MEXOVAYA MODA"</t>
  </si>
  <si>
    <t>Каракулаводства</t>
  </si>
  <si>
    <t>Приобретение 25 000 изделий из черной кожи.</t>
  </si>
  <si>
    <t>300899265</t>
  </si>
  <si>
    <t>ФХ "NASIBA"</t>
  </si>
  <si>
    <t>Тупороккалийский район</t>
  </si>
  <si>
    <t>Купить 1 трактор ARION 630 C, 1 трактор LOVOL 904, 1 сеялку 28-рядную, 1 ротационный плуг 3+1, 1 лазерный строгальный станок 4,5м.</t>
  </si>
  <si>
    <t>OOO "PULATCHI GOLD START"</t>
  </si>
  <si>
    <t>АТБ “Туронбанк”</t>
  </si>
  <si>
    <t>Приобретение 320 голов мелкого рогатого скота.</t>
  </si>
  <si>
    <t>309989993</t>
  </si>
  <si>
    <t>ФХ "SULAYMON SHO"</t>
  </si>
  <si>
    <t>Хазараспский район</t>
  </si>
  <si>
    <t>Покупка 1 трактора AXION 850.</t>
  </si>
  <si>
    <t>ФХ "Содиқ ворислари"</t>
  </si>
  <si>
    <t>Хавосский район</t>
  </si>
  <si>
    <t>Приобретение 46 голов крупного рогатого скота.</t>
  </si>
  <si>
    <t>ФХ "Шохрух Сардор Султони"</t>
  </si>
  <si>
    <t>Сырдарьинская район</t>
  </si>
  <si>
    <t>Купите 60 быков, 30 коров, 300 баранов и 230 овец.</t>
  </si>
  <si>
    <t>ФХ "АБДУҚОДИРОБОД"</t>
  </si>
  <si>
    <t>Закупка 66 голов племенного крупного рогатого скота голштинской породы из Эстонии.</t>
  </si>
  <si>
    <t>ФХ "ЗАРАФШОН ЖАЙРОНИ"</t>
  </si>
  <si>
    <t>Закупка 33 голов племенного крупного рогатого скота голштинской породы из Эстонии.</t>
  </si>
  <si>
    <t>OOO "VODIL BOLTABOEV AL AZIZ"</t>
  </si>
  <si>
    <t>Ферганский район</t>
  </si>
  <si>
    <t>Закупка 60 голов племенного крупного рогатого скота голштинский породы из Кыргызстан.</t>
  </si>
  <si>
    <t>OOO "FERUZA BAXTIYOR CHORVALARI"</t>
  </si>
  <si>
    <t>Деновский райоон</t>
  </si>
  <si>
    <t>Закупка 60 голов племенного крупного рогатого скота сименталский породы из Казахстан.</t>
  </si>
  <si>
    <t>ФХ "AKMAL TOSHPULATOVICH"</t>
  </si>
  <si>
    <t>Тайлакский район</t>
  </si>
  <si>
    <t>Закупка 130 голов племенного крупного рогатого скота сименталский породы из Эстония.</t>
  </si>
  <si>
    <r>
      <t>ООО “</t>
    </r>
    <r>
      <rPr>
        <sz val="14"/>
        <color theme="1"/>
        <rFont val="Times New Roman"/>
        <family val="1"/>
      </rPr>
      <t>Nuriddin Fayz Omad Baraka</t>
    </r>
    <r>
      <rPr>
        <sz val="14"/>
        <color rgb="FF000000"/>
        <rFont val="Times New Roman"/>
        <family val="1"/>
      </rPr>
      <t xml:space="preserve">” </t>
    </r>
  </si>
  <si>
    <t>Закупка 128 голов племенного крупного рогатого скота сименталский породы из Эстония.</t>
  </si>
  <si>
    <t>ФХ “MULKI QAL’A”</t>
  </si>
  <si>
    <t>Хозарспский район</t>
  </si>
  <si>
    <t>В планах закупка 6 видов вспомогательного оборудования к сельхозтехнике и 1 силосная машина Challenger 3.</t>
  </si>
  <si>
    <t>ФХ “KOSONSOY-BESHBOG”</t>
  </si>
  <si>
    <t>Закупка 42 голов племенного крупного рогатого скота голштинский породы из Кыргызстан.</t>
  </si>
  <si>
    <t xml:space="preserve">ФХ "XALIMA ZIYO" </t>
  </si>
  <si>
    <t>Закупка 42 голов племенного крупного рогатого скота швец породы из Польша.</t>
  </si>
  <si>
    <t>СФ "Ochilov Navruz Nasriddinovich"</t>
  </si>
  <si>
    <t>Хатирчинский район</t>
  </si>
  <si>
    <t>Закупка 33 голов племенного крупного рогатого скота сментал породы из Австрия и 41 голов племенного крупного рогатого скота сментал породы из Кыргызстан.</t>
  </si>
  <si>
    <t>OOO "OBOD ZAMIN"</t>
  </si>
  <si>
    <t>60 голов племенного крупного рогатого скота гольштейн породы из Кыргызстан.</t>
  </si>
  <si>
    <t>OOO "AGRO TA'MINOT BAZASI O'K"</t>
  </si>
  <si>
    <t>Пополнение оборотных средств и закупка кормовой продукции</t>
  </si>
  <si>
    <t>ФХ "FIDOKOR AGRO CHORVA"</t>
  </si>
  <si>
    <t>Пиробретение МРС 1350 голов.</t>
  </si>
  <si>
    <t>OOO "JARQUM EXSPORT AGRO TOMORQA"</t>
  </si>
  <si>
    <t>Пиробретение МРС 750 голов.</t>
  </si>
  <si>
    <t>OOO "RISHODBEK CHORVA RIVOJ"</t>
  </si>
  <si>
    <t>Пиробретение МРС 610 голов.</t>
  </si>
  <si>
    <t>OOO "KO'HNA KESH FAVVORASI"</t>
  </si>
  <si>
    <t>Пиробретение КРС 96 голов. (Симентал и швед)</t>
  </si>
  <si>
    <t>ООО "XOSIYATLI QORAKO'L NURI PAXTACHILIK VA G'ALLACHILIK KLASTER"</t>
  </si>
  <si>
    <t>Каракулский район</t>
  </si>
  <si>
    <t>Пиробретение КРС 498 голов.</t>
  </si>
  <si>
    <t>OOO "FARANGIZ"</t>
  </si>
  <si>
    <t xml:space="preserve">Пиробретение КРС 506 голов из Россия. Парода сментал. </t>
  </si>
  <si>
    <t>OOO "BOBOYURT MARKET 2021"</t>
  </si>
  <si>
    <t>Бойовутский район</t>
  </si>
  <si>
    <t>Пиробретение КРС 39 голов. Телка</t>
  </si>
  <si>
    <t>OOO "SHAFRAN MILK EKSPERT"</t>
  </si>
  <si>
    <t>Пиробретение КРС 66 голов.</t>
  </si>
  <si>
    <t>ФХ "QONIRATBAY MEXRI"</t>
  </si>
  <si>
    <t>Приобритение HYUNDAI EX8 рефрежратор 1шт, ГАЗ-А21R33-50-модел 1 шт, ГАЗ-А21R33-1050-модел 6шт.</t>
  </si>
  <si>
    <t>OOO "AMAKIVACHCHA MIRZAABDULLAYEVLAR"</t>
  </si>
  <si>
    <t>Куштепенский район</t>
  </si>
  <si>
    <t>Переработка кожи</t>
  </si>
  <si>
    <t>Приобретение 1 лазерного станка для обработки кожи.</t>
  </si>
  <si>
    <t>ФХ "OLOVIDDIN"</t>
  </si>
  <si>
    <t>Чинозский район</t>
  </si>
  <si>
    <t xml:space="preserve">Приобретение КРС 89 гол голштино-фриз, 1 трактор МТЗ 82.1 мсот кондицонер и 1 шт погрузчик Т-219 </t>
  </si>
  <si>
    <t>OOO "RUSTAM TO'QSAN CHORVASI"</t>
  </si>
  <si>
    <t>Пиробретение КРС 25 голов. Швейцарские телка</t>
  </si>
  <si>
    <t>ЧФ "NAVOIY SHARQ MARVARIDI"</t>
  </si>
  <si>
    <t>город Навои</t>
  </si>
  <si>
    <t>Пиробретение КРС 79 голов.</t>
  </si>
  <si>
    <t>ФХ "YULDUZ"</t>
  </si>
  <si>
    <t>Пиробретение КРС 54 голов. Голиштейн телка</t>
  </si>
  <si>
    <t>ФХ "JABBOR OTA MR"</t>
  </si>
  <si>
    <t>Приобритение МРС 279 голов.</t>
  </si>
  <si>
    <t>ФХ "ALI SHUNQOR FAYZ"</t>
  </si>
  <si>
    <t xml:space="preserve">Приобритение МРС 100 голов алатауский. </t>
  </si>
  <si>
    <t>ФХ "HALAL MEAT"</t>
  </si>
  <si>
    <t>Тўрақўрғонский район</t>
  </si>
  <si>
    <t>Приобритение КРС 133 крупнорогих телки швейц породы в возрасте 20-24 мес.</t>
  </si>
  <si>
    <t>ФХ "DENOV AZIZBEK CHORVADOR"</t>
  </si>
  <si>
    <t>Приобритение КРС 32 телки симментал породы.</t>
  </si>
  <si>
    <t>ФХ "MIRZASULTON XOJI"</t>
  </si>
  <si>
    <t>Избосканский район</t>
  </si>
  <si>
    <t>Приобритение КРС 52 телки голиштино-фризко породы. (Австрия)</t>
  </si>
  <si>
    <t>ФХ "SALOXIDDIN-JAMOLIDDIN CHORVADOR"</t>
  </si>
  <si>
    <t>Приобритение КРС 208 телки симентал породы. Германия</t>
  </si>
  <si>
    <t>ФХ "QUTLIBEK QAYIPBEKOV"</t>
  </si>
  <si>
    <t xml:space="preserve">Приобритение МРС 208 голов алатауский. </t>
  </si>
  <si>
    <t>ЧФ "SHAFIJONOV HOJIAKBAR"</t>
  </si>
  <si>
    <t>Приобретение 1600 штук животноводческой субпродукции</t>
  </si>
  <si>
    <t>ФХ "RUSLAN"</t>
  </si>
  <si>
    <t>Приобритение 661,15 тонн отрубей и других видов корма</t>
  </si>
  <si>
    <t>ФХ "ALIJON ZOTLI CHORVALARI"</t>
  </si>
  <si>
    <t xml:space="preserve">Приобритения КРС 45 (племенные коровы породы Голыштейн) </t>
  </si>
  <si>
    <t>OOO "ANGEL-TEXTILE SAVDO"</t>
  </si>
  <si>
    <t>Элликкалинский район</t>
  </si>
  <si>
    <t xml:space="preserve">Приобритения КРС 40 (породы Ангус, Герпорт и Аулекол) </t>
  </si>
  <si>
    <t xml:space="preserve">ФХ "ANDIJON NASILLI ECHKILARI" </t>
  </si>
  <si>
    <t>город Андижан</t>
  </si>
  <si>
    <t xml:space="preserve">Приобритения КРС 258 (племенные коровы породы Голыштейн) </t>
  </si>
  <si>
    <t>OOO "VOBKENT TOMORQA XIZMATI"</t>
  </si>
  <si>
    <t>Вобкнтский район</t>
  </si>
  <si>
    <t>Приобритений 242,56 тонна пшеницы</t>
  </si>
  <si>
    <t>ФХ "XO'JANOVUL"</t>
  </si>
  <si>
    <t>Приобретение 20 шт симментал и 20 шт швец телят, а также 1 шт экскаватора-погрузчика SHONTUI L55-B50 и 1 шт Беларус 892 трактор.</t>
  </si>
  <si>
    <t>Приобритение МРС 130 голов. Гисарский пародий</t>
  </si>
  <si>
    <t>Паярикский район</t>
  </si>
  <si>
    <t>Приобритение МРС 200 голов. эдилбой пародий</t>
  </si>
  <si>
    <t>ФХ "BEGZOD NASILLI MOLLARI"</t>
  </si>
  <si>
    <t>Пахтакорский район</t>
  </si>
  <si>
    <t xml:space="preserve">Приобритения КРС 33 (племенные коровы породы Голыштейн) </t>
  </si>
  <si>
    <t>Приобретение 12 500 изделий из черной кожи.</t>
  </si>
  <si>
    <t>OOO "TUNGI OSIYO"</t>
  </si>
  <si>
    <t>Арнасойский район</t>
  </si>
  <si>
    <t>Приобритение МРС 100 голов. арашан пародий</t>
  </si>
  <si>
    <t>OOO "XUDAYBERGAN-SHODIYA"</t>
  </si>
  <si>
    <t xml:space="preserve">Приобритение КРС 20 (породы сментал) </t>
  </si>
  <si>
    <t>OOO "BOZOR TOMAT PASTASI"</t>
  </si>
  <si>
    <t>Гурланский район</t>
  </si>
  <si>
    <t xml:space="preserve">Приобритение КРС 43 (породы голиштейн нетил) </t>
  </si>
  <si>
    <t>ООО "XONQA CHORVA KAPITAL"</t>
  </si>
  <si>
    <t>Хонкаский район</t>
  </si>
  <si>
    <t xml:space="preserve">Приобритение КРС 117 (породы голиштейн нетил) </t>
  </si>
  <si>
    <t>ФХ "BARAKA GOLD"</t>
  </si>
  <si>
    <t>Банихонский туман</t>
  </si>
  <si>
    <t>Приобритение МРС 200 голов. гисарский пародий</t>
  </si>
  <si>
    <t>ФХ "YOQUB OTA"</t>
  </si>
  <si>
    <t xml:space="preserve">Приобритение КРС 200 (породы голиштейн нетил) </t>
  </si>
  <si>
    <t>CФ "TUYAQUSH TILLOLARI"</t>
  </si>
  <si>
    <t xml:space="preserve">Приобритение КРС 10 (породы сментал нетил) </t>
  </si>
  <si>
    <t>ФХ "ZARAFSHOn JAYRONI"</t>
  </si>
  <si>
    <t xml:space="preserve">Приобритение КРС 64 (породы голиштейн нетил) </t>
  </si>
  <si>
    <t>ФХ "BARAKA RIZQ CHORVA"</t>
  </si>
  <si>
    <t xml:space="preserve">Приобритение КРС 24 (породы щвец нетил) </t>
  </si>
  <si>
    <t xml:space="preserve">ФХ "YETTI XAZINA" </t>
  </si>
  <si>
    <t>Норинский район</t>
  </si>
  <si>
    <t xml:space="preserve">Приобритение КРС 30 (породы щвец браун нетил) </t>
  </si>
  <si>
    <t>ФХ "IBODILLO OTA YAGONA CHORVA"</t>
  </si>
  <si>
    <t>Приобритение МРС 720 голов. барга пародий</t>
  </si>
  <si>
    <t>ФХ "YAKKABOG ELITA CHORVA"</t>
  </si>
  <si>
    <t>Приобритение МРС 84 голов. гисарский пародий</t>
  </si>
  <si>
    <t>OOO "TRUSTCOMPANION"</t>
  </si>
  <si>
    <t xml:space="preserve">Приобритение КРС 194 (породы голиштейн-фризка нетил) </t>
  </si>
  <si>
    <t>ООО "RABATAK CHORVACHILIK"</t>
  </si>
  <si>
    <t xml:space="preserve">Приобритение КРС 30 (породы сментал нетил) </t>
  </si>
  <si>
    <t>ФХ "ELITA BOSHOQ DALALARI"</t>
  </si>
  <si>
    <t>Приобритение кормовых продуктов</t>
  </si>
  <si>
    <t>ФХ "POLVON OBOD NOMLI KO'P TARMOQLI"</t>
  </si>
  <si>
    <t xml:space="preserve">Приобритение КРС 124 (породы сментал нетил) </t>
  </si>
  <si>
    <t>ЧФ "NURLI KARMANA"</t>
  </si>
  <si>
    <t>Горд Навоий</t>
  </si>
  <si>
    <t xml:space="preserve">Приобритение КРС 43 (породы голштен, ауликол, ангус, смментал) </t>
  </si>
  <si>
    <t>ФХ "OSTONA YANGIARIQ GULSHANI"</t>
  </si>
  <si>
    <t xml:space="preserve">Приобритение КРС 14 (породы голштен нетил) </t>
  </si>
  <si>
    <t>СФ "JALOL-OTA-ORZULARI"</t>
  </si>
  <si>
    <t xml:space="preserve">Приобритение КРС 14 (породы браун нетил) </t>
  </si>
  <si>
    <t>OOO "SHOXRUX TOMORQA XIZMATI CLUSTER"</t>
  </si>
  <si>
    <t>Шурчинский район</t>
  </si>
  <si>
    <t>Приобритение КРС 325</t>
  </si>
  <si>
    <t>ФХ "ODIL-SH"</t>
  </si>
  <si>
    <t>Приобритение МРС 325 голов. гисарский пародий</t>
  </si>
  <si>
    <t>ФХ "MUNCHOQTEPA-1"</t>
  </si>
  <si>
    <t xml:space="preserve">Приобритение КРС 31 (породы сментал нетил) </t>
  </si>
  <si>
    <t>ФХ "QODIROV ILYOS ISMOILOVICH"</t>
  </si>
  <si>
    <t xml:space="preserve">Приобритение КРС 20 (породы голиштеён нетил) </t>
  </si>
  <si>
    <t>ФХ "KARIM OCHIL CHORVA BOG'I"</t>
  </si>
  <si>
    <t>Приобретение 30 голов племенных крупного рогатого быка и 46 голов племенных крупного рогатого телок</t>
  </si>
  <si>
    <t>ФХ "BOBOQUL LAQQA HAVZASI"</t>
  </si>
  <si>
    <t>Приобретение 186 голов племенных мелкорогих овец-матерей и детенышей</t>
  </si>
  <si>
    <t>ФХ "NISHON AGRO"</t>
  </si>
  <si>
    <t>Приобретение 29 голов племенного крупного рогатого скота</t>
  </si>
  <si>
    <t>OOO "IXTIYOROVICH CHORVALARI"</t>
  </si>
  <si>
    <t>Приобретение 21 головы 24-месячного племенного крупного рогатого скота породы Голиштейн</t>
  </si>
  <si>
    <t>OOO "ZARKENT BALIQCHILIK"</t>
  </si>
  <si>
    <t>Тошлокский район</t>
  </si>
  <si>
    <t>Закупка малька рыбы и кормовой продукции для рыбы</t>
  </si>
  <si>
    <t>303838813</t>
  </si>
  <si>
    <t xml:space="preserve">ООО "ANDIJON BALIQ" </t>
  </si>
  <si>
    <t>Закупка отрубей пшеничных 1 035,0 тонна и муки пшеничной 1-2 сорта 273 тонна.</t>
  </si>
  <si>
    <t>200274176</t>
  </si>
  <si>
    <t>ОК "ШАХРИСАБЗ НАТУРАЛ МИЛК"</t>
  </si>
  <si>
    <t>Закупка 14 единиц молокоперерабатывающего оборудования 11 типов.</t>
  </si>
  <si>
    <t>308936466</t>
  </si>
  <si>
    <t>ООО "АФРОСИЁБ СИФАТЛИ ПАРРАНДА"</t>
  </si>
  <si>
    <t>Самаркандская район</t>
  </si>
  <si>
    <t>Соевый шрот 100 тонна, шрот подсолнечный 100 тонна.</t>
  </si>
  <si>
    <t>309889248</t>
  </si>
  <si>
    <t>OOO "MO'YNOQ KELAJAGI BUNYODKORLARI"</t>
  </si>
  <si>
    <t>Мўйнакский район</t>
  </si>
  <si>
    <t>Закупка мальков рыбки 30 тонн и кормовой продукции на 107,52 тонн рыбы.</t>
  </si>
  <si>
    <t>307159373</t>
  </si>
  <si>
    <t>ФХ "G'ANIXON ALIXON ISMATULLO</t>
  </si>
  <si>
    <t>Пастарғанский район</t>
  </si>
  <si>
    <t xml:space="preserve">Закупка КРС 33 голов племенного </t>
  </si>
  <si>
    <t>206197576</t>
  </si>
  <si>
    <t>OOO "PRODUKT FISH GRAND"</t>
  </si>
  <si>
    <t>Приобритение 3530 кг материнки разведения карпа</t>
  </si>
  <si>
    <t>309913218</t>
  </si>
  <si>
    <t>OOO "SOYIB CHORVADOR"</t>
  </si>
  <si>
    <t>Закупка 82 голов племенного крупного рогатого скота голштейн породы и 104 голов племенного крупного рогатого скота мамблярд и сментал породы.</t>
  </si>
  <si>
    <t>204981648</t>
  </si>
  <si>
    <t>OOO "MUXAMMADALI SIFATLI YOG'LARI"</t>
  </si>
  <si>
    <t>покупка 500 тонн семян на товарной бирже</t>
  </si>
  <si>
    <t>306574420</t>
  </si>
  <si>
    <t>OOO "ULUG’BEK-NODIRBEK QORAKO’L CHORVA NASL"</t>
  </si>
  <si>
    <t>Приобритение МРС 1182 голов.</t>
  </si>
  <si>
    <t>305249555</t>
  </si>
  <si>
    <t>CФ "SHAHRISABZ NATURAL MILK"</t>
  </si>
  <si>
    <t>Приобретение сырья для переработки молока</t>
  </si>
  <si>
    <t>OOO "OROL POLIMER"</t>
  </si>
  <si>
    <t>Муйнакский район</t>
  </si>
  <si>
    <t xml:space="preserve">Приобритение Лошади самцы местные (Возраст 20-30 месяцев) 11 шт. Лошади самки местные (Возраст 18-24 месяцев) 135 шт. Жеребенок самец (Возраст 7-10 месяцев) 14шт. Жеренок самка (Возраст 7-10 месяцев) 22шт. </t>
  </si>
  <si>
    <t>311079758</t>
  </si>
  <si>
    <t>OOO "KOGON YUQORI NAV PARANDALARI"</t>
  </si>
  <si>
    <t xml:space="preserve">Приобритение 16 тонн мальков рыб и 280 тонн корма для рыб   </t>
  </si>
  <si>
    <t>309222175</t>
  </si>
  <si>
    <t>ФХ "IDENTICAL WOLF"</t>
  </si>
  <si>
    <t>Боготский район</t>
  </si>
  <si>
    <t>Приобритение 2 шт ISUZU модел NPR82L, 1 шт LIUGONG булдозер модел Б161СЛ</t>
  </si>
  <si>
    <t>302464988</t>
  </si>
  <si>
    <t>OOO "ROXAT MILLIY TAOMI"</t>
  </si>
  <si>
    <t>Приобритение МРС 4500 голов. Гисарский пародий</t>
  </si>
  <si>
    <t>305480603</t>
  </si>
  <si>
    <t>ФХ "MUXAMMADAMIN-MUXAMMADALI BALIQLARI"</t>
  </si>
  <si>
    <t>Мирзаботский район</t>
  </si>
  <si>
    <t>Приобритение 141,18 тонн комбикорм, сазан 2800 шт, толсталоб 5000 шт и белиамур 1480 шт</t>
  </si>
  <si>
    <t>304338739</t>
  </si>
  <si>
    <t>OOO "ASAKA SILK WORM"</t>
  </si>
  <si>
    <t>Шелководства</t>
  </si>
  <si>
    <t>Приобретение машин для сушки саженцев шелковицы и коконов, новых типов червячных домиков с ящиками для хранения коконов, охладителей для хранения семян шелкопряда, оборудования для хранения и переработки коконов.</t>
  </si>
  <si>
    <t>306669167</t>
  </si>
  <si>
    <t>OOO "GULISTON TOMORQA SERVIS OLTI"</t>
  </si>
  <si>
    <t>Приобритение КРС телок белоголовых (14-18 месяцев) 148 гол.</t>
  </si>
  <si>
    <t>303194549</t>
  </si>
  <si>
    <t>OOO "AYISHA AR"</t>
  </si>
  <si>
    <t>Приобретение 15 тонн форель, 30 тонн кормосмесь старт, 200 тонн кормосмесь рост, 295.74 тонн кормрсмесь финиш и 80000 голв несушка РОСС 380, Сендвич панели, 11,4 тонн труба профили.</t>
  </si>
  <si>
    <t>308170646</t>
  </si>
  <si>
    <t>ФХ "AGRO SARDOBA OQOLTIN"</t>
  </si>
  <si>
    <t>Околтинский район</t>
  </si>
  <si>
    <t xml:space="preserve">Приобритения КРС 70 (племенные коровы породы Симментал) </t>
  </si>
  <si>
    <t>308668586</t>
  </si>
  <si>
    <t>OOO "NEFTCHI  ASL BUNYODKORI"</t>
  </si>
  <si>
    <t>Приобретение обродвиния для рибной хозаестве, малков риби и корим для рибий</t>
  </si>
  <si>
    <t>308790365</t>
  </si>
  <si>
    <t>ФХ "TA'MINOT SAID BURXON"</t>
  </si>
  <si>
    <t>г.Гала Осие</t>
  </si>
  <si>
    <t xml:space="preserve">Приобритения КРС 100 (биков породы Симментал) </t>
  </si>
  <si>
    <t>205310444</t>
  </si>
  <si>
    <t>OOO "JAXONGIR CHORVA KELAJAGI"</t>
  </si>
  <si>
    <t>Приобритение МРС 650 голов. араби пародий</t>
  </si>
  <si>
    <t>310672805</t>
  </si>
  <si>
    <t>ФХ "KO'XNA DIYOR G'ALLASI"</t>
  </si>
  <si>
    <t>Баликчинский район</t>
  </si>
  <si>
    <t>Приобретение минеральных удобрений, мальков рыб, рыбных кормов</t>
  </si>
  <si>
    <t>207238318</t>
  </si>
  <si>
    <t>ЧФ "YORQIN TO'RAQULOVICH"</t>
  </si>
  <si>
    <t>Приобретение молокоперерабатывающего оборудования и 30 голов крупного рогатого скота</t>
  </si>
  <si>
    <t>304588713</t>
  </si>
  <si>
    <t>OOO "SAMARQANDBALIQSANOAT"</t>
  </si>
  <si>
    <t>Пайарыкский район</t>
  </si>
  <si>
    <t>Приобритение сеголетеи сазана 20000 кг, сеголетка белый амур 15000 кг, сеголетеи толстолобик 15000 кг и 286 тонна комбикорм для рыб.</t>
  </si>
  <si>
    <t>304790732</t>
  </si>
  <si>
    <t>Снятые средства по кредитным линиям</t>
  </si>
  <si>
    <t>Остаток снятых средств по кредитным линиям</t>
  </si>
  <si>
    <t>OOO "GOFURJON DEXQON"</t>
  </si>
  <si>
    <t>Приобретение 1 единицы сельскохозяйственного агрегата ГЕПАРТ XL 4,0 м, дисковой борны прицепной и солнечной электростанции мощностью 200 кВт</t>
  </si>
  <si>
    <t>OOO "BARAKA LIVESTOCK KLASTER"</t>
  </si>
  <si>
    <t>Новый Наманганский район</t>
  </si>
  <si>
    <t xml:space="preserve">Приобретение КРС породы "симментал" (коровы) - 96 голов, </t>
  </si>
  <si>
    <t>312049604</t>
  </si>
  <si>
    <t>OOO "DON SAROY"</t>
  </si>
  <si>
    <t>ФХ "GULZORDA BARAKALI BALIQ"</t>
  </si>
  <si>
    <t>Приобретение 40 000 голов 110-дневных кур яичного направления и 1 комплекта клеточного оборудования для их кормления</t>
  </si>
  <si>
    <t>Приобретение 52 632 кг корм для рибий</t>
  </si>
  <si>
    <t>Одобренные суб-проекты со стороны «Развитие сектора животноводства (2-й этап)» с участием Международной ассоциации развития и Международного банка реконструкции и развития по состоянию на 02.07.2025</t>
  </si>
  <si>
    <t>Одобренные суб-проекты со стороны ГРП "Финансирование устойчивого развития сферы животноводства в Республике Узбекистан" в рамках кредитных линий ФАР по состоянию на 02.07.2025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</si>
</sst>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\ _₽_-;\-* #,##0.00\ _₽_-;_-* &quot;-&quot;??\ _₽_-;_-@_-"/>
    <numFmt numFmtId="164" formatCode="_-* #,##0.00_-;\-* #,##0.00_-;_-* &quot;-&quot;??_-;_-@_-"/>
    <numFmt numFmtId="166" formatCode="_-* #,##0.0_-;\-* #,##0.0_-;_-* &quot;-&quot;??_-;_-@_-"/>
    <numFmt numFmtId="167" formatCode="_(* #,##0.00_);_(* \(#,##0.00\);_(* &quot;-&quot;??_);_(@_)"/>
    <numFmt numFmtId="168" formatCode="_-* #,##0_-;\-* #,##0_-;_-* &quot;-&quot;??_-;_-@_-"/>
    <numFmt numFmtId="169" formatCode="0_);\(0\)"/>
    <numFmt numFmtId="170" formatCode="_-* #,##0.0000_-;\-* #,##0.0000_-;_-* &quot;-&quot;??_-;_-@_-"/>
    <numFmt numFmtId="171" formatCode="_-[$$-409]* #,##0.00_ ;_-[$$-409]* \-#,##0.00\ ;_-[$$-409]* &quot;-&quot;??_ ;_-@_ "/>
    <numFmt numFmtId="172" formatCode="_-[$€-2]\ * #,##0.00_-;\-[$€-2]\ * #,##0.00_-;_-[$€-2]\ * &quot;-&quot;??_-;_-@_-"/>
    <numFmt numFmtId="173" formatCode="0.0%"/>
    <numFmt numFmtId="174" formatCode="_(* #,##0_);_(* \(#,##0\);_(* &quot;-&quot;??_);_(@_)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b/>
      <sz val="11"/>
      <color theme="0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2"/>
      <color rgb="FF000000"/>
      <name val="Times New Roman"/>
      <family val="1"/>
    </font>
    <font>
      <b/>
      <sz val="18"/>
      <color theme="1"/>
      <name val="Times New Roman"/>
      <family val="1"/>
    </font>
    <font>
      <b/>
      <sz val="18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9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2" borderId="10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49" fontId="2" fillId="2" borderId="1" xfId="0" quotePrefix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164" fontId="2" fillId="2" borderId="9" xfId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164" fontId="3" fillId="2" borderId="1" xfId="1" applyFont="1" applyFill="1" applyBorder="1" applyAlignment="1">
      <alignment horizontal="right" vertical="center"/>
    </xf>
    <xf numFmtId="168" fontId="3" fillId="2" borderId="1" xfId="1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64" fontId="2" fillId="0" borderId="1" xfId="1" applyFont="1" applyFill="1" applyBorder="1" applyAlignment="1">
      <alignment horizontal="right" vertical="center"/>
    </xf>
    <xf numFmtId="164" fontId="3" fillId="0" borderId="1" xfId="1" applyFont="1" applyFill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66" fontId="2" fillId="0" borderId="1" xfId="1" applyNumberFormat="1" applyFont="1" applyFill="1" applyBorder="1" applyAlignment="1">
      <alignment horizontal="right" vertical="center"/>
    </xf>
    <xf numFmtId="0" fontId="2" fillId="4" borderId="10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1" applyFont="1" applyFill="1" applyBorder="1" applyAlignment="1">
      <alignment horizontal="right" vertical="center"/>
    </xf>
    <xf numFmtId="164" fontId="3" fillId="4" borderId="1" xfId="1" applyFont="1" applyFill="1" applyBorder="1" applyAlignment="1">
      <alignment horizontal="right" vertical="center"/>
    </xf>
    <xf numFmtId="4" fontId="3" fillId="4" borderId="1" xfId="0" applyNumberFormat="1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8" fontId="2" fillId="0" borderId="1" xfId="1" applyNumberFormat="1" applyFont="1" applyFill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64" fontId="4" fillId="0" borderId="1" xfId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2" fillId="5" borderId="0" xfId="0" applyFont="1" applyFill="1"/>
    <xf numFmtId="164" fontId="2" fillId="2" borderId="1" xfId="1" applyFont="1" applyFill="1" applyBorder="1" applyAlignment="1">
      <alignment vertical="center"/>
    </xf>
    <xf numFmtId="164" fontId="4" fillId="2" borderId="1" xfId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4" fillId="5" borderId="0" xfId="0" applyFont="1" applyFill="1"/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9" fontId="5" fillId="2" borderId="1" xfId="1" applyNumberFormat="1" applyFont="1" applyFill="1" applyBorder="1" applyAlignment="1">
      <alignment horizontal="center" vertical="center"/>
    </xf>
    <xf numFmtId="0" fontId="3" fillId="2" borderId="0" xfId="0" applyFont="1" applyFill="1"/>
    <xf numFmtId="0" fontId="5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164" fontId="5" fillId="0" borderId="1" xfId="1" applyFont="1" applyFill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5" fillId="4" borderId="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164" fontId="5" fillId="4" borderId="1" xfId="1" applyFont="1" applyFill="1" applyBorder="1" applyAlignment="1">
      <alignment horizontal="right" vertical="center"/>
    </xf>
    <xf numFmtId="4" fontId="5" fillId="4" borderId="1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169" fontId="5" fillId="0" borderId="1" xfId="1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right" vertical="center"/>
    </xf>
    <xf numFmtId="164" fontId="4" fillId="4" borderId="1" xfId="1" applyFont="1" applyFill="1" applyBorder="1" applyAlignment="1">
      <alignment horizontal="right" vertical="center"/>
    </xf>
    <xf numFmtId="168" fontId="4" fillId="0" borderId="1" xfId="1" applyNumberFormat="1" applyFont="1" applyFill="1" applyBorder="1" applyAlignment="1">
      <alignment horizontal="right" vertical="center"/>
    </xf>
    <xf numFmtId="168" fontId="2" fillId="2" borderId="1" xfId="1" applyNumberFormat="1" applyFont="1" applyFill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66" fontId="3" fillId="0" borderId="1" xfId="1" applyNumberFormat="1" applyFont="1" applyFill="1" applyBorder="1" applyAlignment="1">
      <alignment horizontal="right" vertical="center"/>
    </xf>
    <xf numFmtId="167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64" fontId="3" fillId="6" borderId="1" xfId="1" applyFont="1" applyFill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164" fontId="3" fillId="0" borderId="13" xfId="1" applyFont="1" applyFill="1" applyBorder="1" applyAlignment="1">
      <alignment horizontal="right" vertical="center"/>
    </xf>
    <xf numFmtId="4" fontId="8" fillId="0" borderId="13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4" fontId="2" fillId="0" borderId="0" xfId="1" applyFont="1" applyFill="1" applyAlignment="1">
      <alignment horizontal="right" vertical="center"/>
    </xf>
    <xf numFmtId="170" fontId="2" fillId="0" borderId="0" xfId="1" applyNumberFormat="1" applyFont="1" applyFill="1" applyAlignment="1">
      <alignment horizontal="right" vertical="center"/>
    </xf>
    <xf numFmtId="164" fontId="4" fillId="2" borderId="1" xfId="1" applyFont="1" applyFill="1" applyBorder="1" applyAlignment="1">
      <alignment vertical="center"/>
    </xf>
    <xf numFmtId="168" fontId="4" fillId="2" borderId="1" xfId="1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43" fontId="2" fillId="2" borderId="0" xfId="0" applyNumberFormat="1" applyFont="1" applyFill="1"/>
    <xf numFmtId="164" fontId="2" fillId="2" borderId="0" xfId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/>
    </xf>
    <xf numFmtId="0" fontId="3" fillId="7" borderId="5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49" fontId="3" fillId="7" borderId="5" xfId="0" applyNumberFormat="1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13" fillId="8" borderId="9" xfId="0" applyFont="1" applyFill="1" applyBorder="1"/>
    <xf numFmtId="0" fontId="3" fillId="2" borderId="9" xfId="0" applyFont="1" applyFill="1" applyBorder="1" applyAlignment="1">
      <alignment horizontal="center" vertical="center" wrapText="1"/>
    </xf>
    <xf numFmtId="164" fontId="3" fillId="2" borderId="9" xfId="1" applyFont="1" applyFill="1" applyBorder="1" applyAlignment="1">
      <alignment horizontal="right" vertical="center"/>
    </xf>
    <xf numFmtId="174" fontId="3" fillId="2" borderId="9" xfId="1" applyNumberFormat="1" applyFont="1" applyFill="1" applyBorder="1" applyAlignment="1">
      <alignment horizontal="right" vertical="center"/>
    </xf>
    <xf numFmtId="164" fontId="5" fillId="2" borderId="9" xfId="1" applyFont="1" applyFill="1" applyBorder="1" applyAlignment="1">
      <alignment horizontal="right" vertical="center"/>
    </xf>
    <xf numFmtId="4" fontId="5" fillId="2" borderId="9" xfId="0" applyNumberFormat="1" applyFont="1" applyFill="1" applyBorder="1" applyAlignment="1">
      <alignment horizontal="right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center" vertical="center" wrapText="1"/>
    </xf>
    <xf numFmtId="164" fontId="15" fillId="2" borderId="9" xfId="1" applyFont="1" applyFill="1" applyBorder="1" applyAlignment="1">
      <alignment horizontal="right" vertical="center"/>
    </xf>
    <xf numFmtId="164" fontId="16" fillId="2" borderId="9" xfId="1" applyFont="1" applyFill="1" applyBorder="1" applyAlignment="1">
      <alignment horizontal="right" vertical="center"/>
    </xf>
    <xf numFmtId="4" fontId="16" fillId="2" borderId="9" xfId="0" applyNumberFormat="1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49" fontId="15" fillId="2" borderId="9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0" fontId="14" fillId="0" borderId="9" xfId="0" applyFont="1" applyBorder="1" applyAlignment="1">
      <alignment horizontal="left" vertical="center" wrapText="1"/>
    </xf>
    <xf numFmtId="164" fontId="2" fillId="2" borderId="9" xfId="1" applyFont="1" applyFill="1" applyBorder="1" applyAlignment="1">
      <alignment horizontal="right" vertical="center"/>
    </xf>
    <xf numFmtId="167" fontId="2" fillId="2" borderId="9" xfId="1" applyNumberFormat="1" applyFont="1" applyFill="1" applyBorder="1" applyAlignment="1">
      <alignment horizontal="right" vertical="center"/>
    </xf>
    <xf numFmtId="0" fontId="13" fillId="8" borderId="1" xfId="0" applyFont="1" applyFill="1" applyBorder="1"/>
    <xf numFmtId="164" fontId="0" fillId="0" borderId="2" xfId="3" applyFont="1" applyBorder="1" applyAlignment="1">
      <alignment horizontal="center" vertical="center" wrapText="1"/>
    </xf>
    <xf numFmtId="164" fontId="4" fillId="2" borderId="1" xfId="3" applyFont="1" applyFill="1" applyBorder="1" applyAlignment="1">
      <alignment horizontal="right" vertical="center"/>
    </xf>
    <xf numFmtId="174" fontId="3" fillId="2" borderId="1" xfId="1" applyNumberFormat="1" applyFont="1" applyFill="1" applyBorder="1" applyAlignment="1">
      <alignment horizontal="right" vertical="center"/>
    </xf>
    <xf numFmtId="0" fontId="19" fillId="0" borderId="1" xfId="0" applyFont="1" applyBorder="1" applyAlignment="1">
      <alignment vertical="center"/>
    </xf>
    <xf numFmtId="167" fontId="2" fillId="2" borderId="1" xfId="1" applyNumberFormat="1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center" vertical="center"/>
    </xf>
    <xf numFmtId="174" fontId="2" fillId="2" borderId="1" xfId="1" applyNumberFormat="1" applyFont="1" applyFill="1" applyBorder="1" applyAlignment="1">
      <alignment horizontal="right" vertical="center"/>
    </xf>
    <xf numFmtId="164" fontId="10" fillId="2" borderId="1" xfId="1" applyFont="1" applyFill="1" applyBorder="1" applyAlignment="1">
      <alignment horizontal="right" vertical="center"/>
    </xf>
    <xf numFmtId="167" fontId="5" fillId="2" borderId="1" xfId="1" applyNumberFormat="1" applyFont="1" applyFill="1" applyBorder="1" applyAlignment="1">
      <alignment horizontal="right" vertical="center"/>
    </xf>
    <xf numFmtId="164" fontId="2" fillId="2" borderId="0" xfId="1" applyFont="1" applyFill="1" applyAlignment="1">
      <alignment horizontal="right" vertical="center"/>
    </xf>
    <xf numFmtId="166" fontId="2" fillId="2" borderId="0" xfId="1" applyNumberFormat="1" applyFont="1" applyFill="1" applyAlignment="1">
      <alignment horizontal="right" vertical="center"/>
    </xf>
    <xf numFmtId="164" fontId="2" fillId="2" borderId="0" xfId="1" applyFont="1" applyFill="1" applyAlignment="1">
      <alignment horizontal="left" vertical="center"/>
    </xf>
    <xf numFmtId="43" fontId="2" fillId="2" borderId="0" xfId="0" applyNumberFormat="1" applyFont="1" applyFill="1" applyAlignment="1">
      <alignment horizontal="center" vertical="center" wrapText="1"/>
    </xf>
    <xf numFmtId="171" fontId="2" fillId="2" borderId="0" xfId="1" applyNumberFormat="1" applyFont="1" applyFill="1" applyAlignment="1">
      <alignment horizontal="right" vertical="center"/>
    </xf>
    <xf numFmtId="172" fontId="2" fillId="2" borderId="0" xfId="1" applyNumberFormat="1" applyFont="1" applyFill="1" applyAlignment="1">
      <alignment horizontal="right" vertical="center"/>
    </xf>
    <xf numFmtId="171" fontId="3" fillId="2" borderId="0" xfId="1" applyNumberFormat="1" applyFont="1" applyFill="1" applyAlignment="1">
      <alignment horizontal="right" vertical="center"/>
    </xf>
    <xf numFmtId="172" fontId="3" fillId="2" borderId="0" xfId="1" applyNumberFormat="1" applyFont="1" applyFill="1" applyAlignment="1">
      <alignment horizontal="right" vertical="center"/>
    </xf>
    <xf numFmtId="171" fontId="2" fillId="2" borderId="0" xfId="0" applyNumberFormat="1" applyFont="1" applyFill="1" applyAlignment="1">
      <alignment horizontal="center" vertical="center" wrapText="1"/>
    </xf>
    <xf numFmtId="171" fontId="2" fillId="2" borderId="0" xfId="1" applyNumberFormat="1" applyFont="1" applyFill="1" applyBorder="1" applyAlignment="1">
      <alignment horizontal="right" vertical="center"/>
    </xf>
    <xf numFmtId="171" fontId="2" fillId="2" borderId="0" xfId="1" applyNumberFormat="1" applyFont="1" applyFill="1" applyAlignment="1">
      <alignment horizontal="center" vertical="center" wrapText="1"/>
    </xf>
    <xf numFmtId="172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171" fontId="3" fillId="2" borderId="0" xfId="0" applyNumberFormat="1" applyFont="1" applyFill="1" applyAlignment="1">
      <alignment horizontal="center" vertical="center" wrapText="1"/>
    </xf>
    <xf numFmtId="172" fontId="3" fillId="2" borderId="0" xfId="0" applyNumberFormat="1" applyFont="1" applyFill="1"/>
    <xf numFmtId="172" fontId="2" fillId="2" borderId="0" xfId="0" applyNumberFormat="1" applyFont="1" applyFill="1"/>
    <xf numFmtId="171" fontId="2" fillId="2" borderId="0" xfId="0" applyNumberFormat="1" applyFont="1" applyFill="1"/>
    <xf numFmtId="171" fontId="10" fillId="2" borderId="0" xfId="0" applyNumberFormat="1" applyFont="1" applyFill="1" applyAlignment="1">
      <alignment horizontal="center" vertical="center" wrapText="1"/>
    </xf>
    <xf numFmtId="172" fontId="10" fillId="2" borderId="0" xfId="0" applyNumberFormat="1" applyFont="1" applyFill="1"/>
    <xf numFmtId="172" fontId="10" fillId="2" borderId="0" xfId="0" applyNumberFormat="1" applyFont="1" applyFill="1" applyAlignment="1">
      <alignment horizontal="center" vertical="center" wrapText="1"/>
    </xf>
    <xf numFmtId="172" fontId="2" fillId="2" borderId="0" xfId="2" applyNumberFormat="1" applyFont="1" applyFill="1"/>
    <xf numFmtId="17" fontId="2" fillId="2" borderId="0" xfId="0" applyNumberFormat="1" applyFont="1" applyFill="1" applyAlignment="1">
      <alignment horizontal="right" vertical="center"/>
    </xf>
    <xf numFmtId="1" fontId="2" fillId="2" borderId="0" xfId="0" applyNumberFormat="1" applyFont="1" applyFill="1"/>
    <xf numFmtId="173" fontId="2" fillId="2" borderId="0" xfId="2" applyNumberFormat="1" applyFont="1" applyFill="1"/>
    <xf numFmtId="0" fontId="3" fillId="4" borderId="6" xfId="0" applyFont="1" applyFill="1" applyBorder="1" applyAlignment="1">
      <alignment horizontal="right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center" vertical="center" wrapText="1"/>
    </xf>
    <xf numFmtId="164" fontId="3" fillId="4" borderId="8" xfId="1" applyFont="1" applyFill="1" applyBorder="1" applyAlignment="1">
      <alignment horizontal="right" vertical="center"/>
    </xf>
    <xf numFmtId="164" fontId="5" fillId="4" borderId="8" xfId="1" applyFont="1" applyFill="1" applyBorder="1" applyAlignment="1">
      <alignment horizontal="right" vertical="center"/>
    </xf>
    <xf numFmtId="4" fontId="5" fillId="4" borderId="8" xfId="0" applyNumberFormat="1" applyFont="1" applyFill="1" applyBorder="1" applyAlignment="1">
      <alignment horizontal="right" vertical="center" wrapText="1"/>
    </xf>
    <xf numFmtId="0" fontId="3" fillId="4" borderId="8" xfId="0" applyFont="1" applyFill="1" applyBorder="1" applyAlignment="1">
      <alignment horizontal="center" vertical="center"/>
    </xf>
    <xf numFmtId="49" fontId="3" fillId="4" borderId="8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</cellXfs>
  <cellStyles count="4">
    <cellStyle name="Обычный" xfId="0" builtinId="0"/>
    <cellStyle name="Процентный" xfId="2" builtinId="5"/>
    <cellStyle name="Финансовый" xfId="1" builtinId="3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70"/>
  <sheetViews>
    <sheetView view="pageBreakPreview" zoomScale="85" zoomScaleNormal="85" zoomScaleSheetLayoutView="85" workbookViewId="0">
      <selection activeCell="F14" sqref="F14"/>
    </sheetView>
  </sheetViews>
  <sheetFormatPr defaultColWidth="9.140625" defaultRowHeight="15" x14ac:dyDescent="0.25"/>
  <cols>
    <col min="1" max="1" width="4.5703125" style="2" customWidth="1"/>
    <col min="2" max="2" width="4.140625" style="3" bestFit="1" customWidth="1"/>
    <col min="3" max="3" width="42" style="114" customWidth="1"/>
    <col min="4" max="4" width="26.85546875" style="4" customWidth="1"/>
    <col min="5" max="5" width="20.7109375" style="4" customWidth="1"/>
    <col min="6" max="6" width="16.140625" style="1" customWidth="1"/>
    <col min="7" max="7" width="15.42578125" style="1" customWidth="1"/>
    <col min="8" max="8" width="15" style="1" customWidth="1"/>
    <col min="9" max="9" width="18.7109375" style="1" bestFit="1" customWidth="1"/>
    <col min="10" max="10" width="21.140625" style="4" bestFit="1" customWidth="1"/>
    <col min="11" max="11" width="87.140625" style="4" customWidth="1"/>
    <col min="12" max="12" width="14.42578125" style="3" customWidth="1"/>
    <col min="13" max="13" width="10.7109375" style="5" customWidth="1"/>
    <col min="14" max="16384" width="9.140625" style="1"/>
  </cols>
  <sheetData>
    <row r="1" spans="1:13" ht="50.25" customHeight="1" thickBot="1" x14ac:dyDescent="0.3">
      <c r="A1" s="192" t="s">
        <v>1383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</row>
    <row r="2" spans="1:13" s="9" customFormat="1" ht="71.25" customHeight="1" thickBot="1" x14ac:dyDescent="0.3">
      <c r="A2" s="6" t="s">
        <v>0</v>
      </c>
      <c r="B2" s="6"/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7" t="s">
        <v>8</v>
      </c>
      <c r="K2" s="6" t="s">
        <v>9</v>
      </c>
      <c r="L2" s="6" t="s">
        <v>10</v>
      </c>
      <c r="M2" s="8" t="s">
        <v>11</v>
      </c>
    </row>
    <row r="3" spans="1:13" s="12" customFormat="1" ht="14.25" customHeight="1" x14ac:dyDescent="0.2">
      <c r="A3" s="183"/>
      <c r="B3" s="184"/>
      <c r="C3" s="185" t="s">
        <v>12</v>
      </c>
      <c r="D3" s="186"/>
      <c r="E3" s="186"/>
      <c r="F3" s="187"/>
      <c r="G3" s="187">
        <f>15000+5000+20000</f>
        <v>40000</v>
      </c>
      <c r="H3" s="187"/>
      <c r="I3" s="188">
        <f>164460+67701.3+293000</f>
        <v>525161.30000000005</v>
      </c>
      <c r="J3" s="189"/>
      <c r="K3" s="186"/>
      <c r="L3" s="190"/>
      <c r="M3" s="191"/>
    </row>
    <row r="4" spans="1:13" s="20" customFormat="1" x14ac:dyDescent="0.25">
      <c r="A4" s="13">
        <v>1</v>
      </c>
      <c r="B4" s="14">
        <v>1</v>
      </c>
      <c r="C4" s="15" t="s">
        <v>13</v>
      </c>
      <c r="D4" s="16" t="s">
        <v>14</v>
      </c>
      <c r="E4" s="16" t="s">
        <v>15</v>
      </c>
      <c r="F4" s="17">
        <f t="shared" ref="F4:F67" si="0">+G4+H4</f>
        <v>1451.7761765778914</v>
      </c>
      <c r="G4" s="17">
        <f t="shared" ref="G4:G83" si="1">+I4/10964*1000</f>
        <v>998.72309376140106</v>
      </c>
      <c r="H4" s="17">
        <v>453.0530828164903</v>
      </c>
      <c r="I4" s="17">
        <v>10950</v>
      </c>
      <c r="J4" s="16" t="s">
        <v>16</v>
      </c>
      <c r="K4" s="16" t="s">
        <v>17</v>
      </c>
      <c r="L4" s="18">
        <v>81</v>
      </c>
      <c r="M4" s="19" t="s">
        <v>18</v>
      </c>
    </row>
    <row r="5" spans="1:13" s="20" customFormat="1" x14ac:dyDescent="0.25">
      <c r="A5" s="13">
        <v>2</v>
      </c>
      <c r="B5" s="14">
        <v>2</v>
      </c>
      <c r="C5" s="15" t="s">
        <v>19</v>
      </c>
      <c r="D5" s="16" t="s">
        <v>20</v>
      </c>
      <c r="E5" s="16" t="s">
        <v>21</v>
      </c>
      <c r="F5" s="17">
        <f t="shared" si="0"/>
        <v>111.80226194819406</v>
      </c>
      <c r="G5" s="17">
        <f t="shared" si="1"/>
        <v>74.863188617292948</v>
      </c>
      <c r="H5" s="17">
        <v>36.939073330901103</v>
      </c>
      <c r="I5" s="17">
        <v>820.8</v>
      </c>
      <c r="J5" s="16" t="s">
        <v>22</v>
      </c>
      <c r="K5" s="16" t="s">
        <v>23</v>
      </c>
      <c r="L5" s="18">
        <v>6</v>
      </c>
      <c r="M5" s="19" t="s">
        <v>24</v>
      </c>
    </row>
    <row r="6" spans="1:13" s="20" customFormat="1" x14ac:dyDescent="0.25">
      <c r="A6" s="13">
        <v>3</v>
      </c>
      <c r="B6" s="14">
        <v>3</v>
      </c>
      <c r="C6" s="15" t="s">
        <v>25</v>
      </c>
      <c r="D6" s="16" t="s">
        <v>26</v>
      </c>
      <c r="E6" s="16" t="s">
        <v>27</v>
      </c>
      <c r="F6" s="17">
        <f t="shared" si="0"/>
        <v>39.128055454213793</v>
      </c>
      <c r="G6" s="17">
        <f t="shared" si="1"/>
        <v>27.271068952936886</v>
      </c>
      <c r="H6" s="17">
        <v>11.856986501276907</v>
      </c>
      <c r="I6" s="17">
        <v>299</v>
      </c>
      <c r="J6" s="16" t="s">
        <v>28</v>
      </c>
      <c r="K6" s="16" t="s">
        <v>29</v>
      </c>
      <c r="L6" s="18">
        <v>6</v>
      </c>
      <c r="M6" s="19" t="s">
        <v>30</v>
      </c>
    </row>
    <row r="7" spans="1:13" s="20" customFormat="1" x14ac:dyDescent="0.25">
      <c r="A7" s="13">
        <v>4</v>
      </c>
      <c r="B7" s="14">
        <v>4</v>
      </c>
      <c r="C7" s="15" t="s">
        <v>31</v>
      </c>
      <c r="D7" s="16" t="s">
        <v>32</v>
      </c>
      <c r="E7" s="16" t="s">
        <v>33</v>
      </c>
      <c r="F7" s="17">
        <f t="shared" si="0"/>
        <v>102.3349142648668</v>
      </c>
      <c r="G7" s="17">
        <f t="shared" si="1"/>
        <v>68.405691353520609</v>
      </c>
      <c r="H7" s="17">
        <v>33.929222911346187</v>
      </c>
      <c r="I7" s="17">
        <v>750</v>
      </c>
      <c r="J7" s="16" t="s">
        <v>22</v>
      </c>
      <c r="K7" s="16" t="s">
        <v>34</v>
      </c>
      <c r="L7" s="18">
        <v>8</v>
      </c>
      <c r="M7" s="19">
        <v>303346018</v>
      </c>
    </row>
    <row r="8" spans="1:13" s="20" customFormat="1" x14ac:dyDescent="0.25">
      <c r="A8" s="13">
        <v>5</v>
      </c>
      <c r="B8" s="14">
        <v>5</v>
      </c>
      <c r="C8" s="15" t="s">
        <v>35</v>
      </c>
      <c r="D8" s="16" t="s">
        <v>32</v>
      </c>
      <c r="E8" s="16" t="s">
        <v>36</v>
      </c>
      <c r="F8" s="17">
        <f t="shared" si="0"/>
        <v>1198.4677125136811</v>
      </c>
      <c r="G8" s="17">
        <f t="shared" si="1"/>
        <v>456.03794235680408</v>
      </c>
      <c r="H8" s="17">
        <v>742.429770156877</v>
      </c>
      <c r="I8" s="17">
        <v>5000</v>
      </c>
      <c r="J8" s="16" t="s">
        <v>22</v>
      </c>
      <c r="K8" s="16" t="s">
        <v>37</v>
      </c>
      <c r="L8" s="18">
        <v>6</v>
      </c>
      <c r="M8" s="19" t="s">
        <v>38</v>
      </c>
    </row>
    <row r="9" spans="1:13" s="20" customFormat="1" ht="30" x14ac:dyDescent="0.25">
      <c r="A9" s="13">
        <v>6</v>
      </c>
      <c r="B9" s="14">
        <v>6</v>
      </c>
      <c r="C9" s="15" t="s">
        <v>39</v>
      </c>
      <c r="D9" s="16" t="s">
        <v>20</v>
      </c>
      <c r="E9" s="16" t="s">
        <v>40</v>
      </c>
      <c r="F9" s="17">
        <f t="shared" si="0"/>
        <v>73.422108719445461</v>
      </c>
      <c r="G9" s="17">
        <f t="shared" si="1"/>
        <v>45.603794235680411</v>
      </c>
      <c r="H9" s="17">
        <f>305000/10964</f>
        <v>27.81831448376505</v>
      </c>
      <c r="I9" s="17">
        <v>500</v>
      </c>
      <c r="J9" s="16" t="s">
        <v>16</v>
      </c>
      <c r="K9" s="16" t="s">
        <v>41</v>
      </c>
      <c r="L9" s="18">
        <v>10</v>
      </c>
      <c r="M9" s="19" t="s">
        <v>42</v>
      </c>
    </row>
    <row r="10" spans="1:13" s="20" customFormat="1" x14ac:dyDescent="0.25">
      <c r="A10" s="13">
        <v>7</v>
      </c>
      <c r="B10" s="14">
        <v>7</v>
      </c>
      <c r="C10" s="15" t="s">
        <v>43</v>
      </c>
      <c r="D10" s="16" t="s">
        <v>32</v>
      </c>
      <c r="E10" s="16" t="s">
        <v>44</v>
      </c>
      <c r="F10" s="17">
        <f t="shared" si="0"/>
        <v>91.207588471360822</v>
      </c>
      <c r="G10" s="17">
        <f t="shared" si="1"/>
        <v>45.603794235680411</v>
      </c>
      <c r="H10" s="17">
        <v>45.603794235680411</v>
      </c>
      <c r="I10" s="17">
        <v>500</v>
      </c>
      <c r="J10" s="16" t="s">
        <v>16</v>
      </c>
      <c r="K10" s="16" t="s">
        <v>45</v>
      </c>
      <c r="L10" s="18">
        <v>2</v>
      </c>
      <c r="M10" s="22" t="s">
        <v>46</v>
      </c>
    </row>
    <row r="11" spans="1:13" s="20" customFormat="1" ht="30" x14ac:dyDescent="0.25">
      <c r="A11" s="13">
        <v>8</v>
      </c>
      <c r="B11" s="14">
        <v>8</v>
      </c>
      <c r="C11" s="15" t="s">
        <v>47</v>
      </c>
      <c r="D11" s="16" t="s">
        <v>48</v>
      </c>
      <c r="E11" s="16" t="s">
        <v>49</v>
      </c>
      <c r="F11" s="17">
        <f t="shared" si="0"/>
        <v>95.555528091937248</v>
      </c>
      <c r="G11" s="17">
        <f t="shared" si="1"/>
        <v>57.460780736957318</v>
      </c>
      <c r="H11" s="17">
        <v>38.094747354979937</v>
      </c>
      <c r="I11" s="17">
        <v>630</v>
      </c>
      <c r="J11" s="16" t="s">
        <v>50</v>
      </c>
      <c r="K11" s="16" t="s">
        <v>51</v>
      </c>
      <c r="L11" s="18">
        <v>2</v>
      </c>
      <c r="M11" s="19" t="s">
        <v>52</v>
      </c>
    </row>
    <row r="12" spans="1:13" s="20" customFormat="1" x14ac:dyDescent="0.25">
      <c r="A12" s="13">
        <v>9</v>
      </c>
      <c r="B12" s="14">
        <v>9</v>
      </c>
      <c r="C12" s="15" t="s">
        <v>53</v>
      </c>
      <c r="D12" s="16" t="s">
        <v>14</v>
      </c>
      <c r="E12" s="16" t="s">
        <v>54</v>
      </c>
      <c r="F12" s="17">
        <f t="shared" si="0"/>
        <v>123.60078438526085</v>
      </c>
      <c r="G12" s="17">
        <f t="shared" si="1"/>
        <v>54.724553082816492</v>
      </c>
      <c r="H12" s="17">
        <v>68.876231302444367</v>
      </c>
      <c r="I12" s="17">
        <v>600</v>
      </c>
      <c r="J12" s="16" t="s">
        <v>22</v>
      </c>
      <c r="K12" s="16" t="s">
        <v>55</v>
      </c>
      <c r="L12" s="18">
        <v>3</v>
      </c>
      <c r="M12" s="19" t="s">
        <v>56</v>
      </c>
    </row>
    <row r="13" spans="1:13" s="20" customFormat="1" x14ac:dyDescent="0.25">
      <c r="A13" s="13">
        <v>10</v>
      </c>
      <c r="B13" s="14">
        <v>10</v>
      </c>
      <c r="C13" s="15" t="s">
        <v>57</v>
      </c>
      <c r="D13" s="16" t="s">
        <v>14</v>
      </c>
      <c r="E13" s="16" t="s">
        <v>15</v>
      </c>
      <c r="F13" s="17">
        <f t="shared" si="0"/>
        <v>1303.8124771981029</v>
      </c>
      <c r="G13" s="17">
        <f t="shared" si="1"/>
        <v>912.07588471360816</v>
      </c>
      <c r="H13" s="17">
        <v>391.73659248449474</v>
      </c>
      <c r="I13" s="17">
        <v>10000</v>
      </c>
      <c r="J13" s="16" t="s">
        <v>16</v>
      </c>
      <c r="K13" s="16" t="s">
        <v>58</v>
      </c>
      <c r="L13" s="18">
        <v>14</v>
      </c>
      <c r="M13" s="19" t="s">
        <v>59</v>
      </c>
    </row>
    <row r="14" spans="1:13" s="20" customFormat="1" x14ac:dyDescent="0.25">
      <c r="A14" s="13">
        <v>11</v>
      </c>
      <c r="B14" s="14">
        <v>11</v>
      </c>
      <c r="C14" s="15" t="s">
        <v>60</v>
      </c>
      <c r="D14" s="16" t="s">
        <v>32</v>
      </c>
      <c r="E14" s="16" t="s">
        <v>33</v>
      </c>
      <c r="F14" s="17">
        <f t="shared" si="0"/>
        <v>39.250364830353888</v>
      </c>
      <c r="G14" s="17">
        <f t="shared" si="1"/>
        <v>26.04888726742065</v>
      </c>
      <c r="H14" s="17">
        <v>13.201477562933237</v>
      </c>
      <c r="I14" s="17">
        <v>285.60000000000002</v>
      </c>
      <c r="J14" s="16" t="s">
        <v>28</v>
      </c>
      <c r="K14" s="16" t="s">
        <v>29</v>
      </c>
      <c r="L14" s="18">
        <v>2</v>
      </c>
      <c r="M14" s="19" t="s">
        <v>61</v>
      </c>
    </row>
    <row r="15" spans="1:13" s="20" customFormat="1" x14ac:dyDescent="0.25">
      <c r="A15" s="13">
        <v>12</v>
      </c>
      <c r="B15" s="14">
        <v>12</v>
      </c>
      <c r="C15" s="15" t="s">
        <v>62</v>
      </c>
      <c r="D15" s="16" t="s">
        <v>20</v>
      </c>
      <c r="E15" s="16" t="s">
        <v>63</v>
      </c>
      <c r="F15" s="17">
        <f t="shared" si="0"/>
        <v>193.44035023713974</v>
      </c>
      <c r="G15" s="17">
        <f t="shared" si="1"/>
        <v>82.34950747902225</v>
      </c>
      <c r="H15" s="17">
        <v>111.0908427581175</v>
      </c>
      <c r="I15" s="17">
        <v>902.88</v>
      </c>
      <c r="J15" s="16" t="s">
        <v>22</v>
      </c>
      <c r="K15" s="16" t="s">
        <v>64</v>
      </c>
      <c r="L15" s="18">
        <v>4</v>
      </c>
      <c r="M15" s="19">
        <v>304619198</v>
      </c>
    </row>
    <row r="16" spans="1:13" s="20" customFormat="1" ht="30" x14ac:dyDescent="0.25">
      <c r="A16" s="13">
        <v>13</v>
      </c>
      <c r="B16" s="14">
        <v>13</v>
      </c>
      <c r="C16" s="15" t="s">
        <v>65</v>
      </c>
      <c r="D16" s="16" t="s">
        <v>26</v>
      </c>
      <c r="E16" s="16" t="s">
        <v>66</v>
      </c>
      <c r="F16" s="17">
        <f t="shared" si="0"/>
        <v>936.1957770886537</v>
      </c>
      <c r="G16" s="17">
        <f t="shared" si="1"/>
        <v>250.82086829624222</v>
      </c>
      <c r="H16" s="17">
        <v>685.37490879241147</v>
      </c>
      <c r="I16" s="17">
        <v>2750</v>
      </c>
      <c r="J16" s="16" t="s">
        <v>22</v>
      </c>
      <c r="K16" s="16" t="s">
        <v>67</v>
      </c>
      <c r="L16" s="18">
        <v>4</v>
      </c>
      <c r="M16" s="19">
        <v>301905399</v>
      </c>
    </row>
    <row r="17" spans="1:13" s="20" customFormat="1" ht="30" x14ac:dyDescent="0.25">
      <c r="A17" s="13">
        <v>14</v>
      </c>
      <c r="B17" s="14">
        <v>14</v>
      </c>
      <c r="C17" s="15" t="s">
        <v>68</v>
      </c>
      <c r="D17" s="16" t="s">
        <v>69</v>
      </c>
      <c r="E17" s="16" t="s">
        <v>70</v>
      </c>
      <c r="F17" s="17">
        <f t="shared" si="0"/>
        <v>86.57488143013498</v>
      </c>
      <c r="G17" s="17">
        <f t="shared" si="1"/>
        <v>62.021160160525355</v>
      </c>
      <c r="H17" s="17">
        <v>24.553721269609632</v>
      </c>
      <c r="I17" s="17">
        <v>680</v>
      </c>
      <c r="J17" s="16" t="s">
        <v>28</v>
      </c>
      <c r="K17" s="16" t="s">
        <v>71</v>
      </c>
      <c r="L17" s="18">
        <v>2</v>
      </c>
      <c r="M17" s="19" t="s">
        <v>72</v>
      </c>
    </row>
    <row r="18" spans="1:13" s="20" customFormat="1" x14ac:dyDescent="0.25">
      <c r="A18" s="13">
        <v>15</v>
      </c>
      <c r="B18" s="14">
        <v>15</v>
      </c>
      <c r="C18" s="15" t="s">
        <v>73</v>
      </c>
      <c r="D18" s="16" t="s">
        <v>32</v>
      </c>
      <c r="E18" s="16" t="s">
        <v>33</v>
      </c>
      <c r="F18" s="17">
        <f t="shared" si="0"/>
        <v>34.193724917913173</v>
      </c>
      <c r="G18" s="17">
        <f t="shared" si="1"/>
        <v>23.704852243706675</v>
      </c>
      <c r="H18" s="17">
        <v>10.488872674206494</v>
      </c>
      <c r="I18" s="17">
        <v>259.89999999999998</v>
      </c>
      <c r="J18" s="16" t="s">
        <v>28</v>
      </c>
      <c r="K18" s="16" t="s">
        <v>74</v>
      </c>
      <c r="L18" s="18">
        <v>8</v>
      </c>
      <c r="M18" s="19" t="s">
        <v>75</v>
      </c>
    </row>
    <row r="19" spans="1:13" s="20" customFormat="1" ht="30" x14ac:dyDescent="0.25">
      <c r="A19" s="13">
        <v>16</v>
      </c>
      <c r="B19" s="14">
        <v>16</v>
      </c>
      <c r="C19" s="15" t="s">
        <v>76</v>
      </c>
      <c r="D19" s="16" t="s">
        <v>77</v>
      </c>
      <c r="E19" s="16" t="s">
        <v>78</v>
      </c>
      <c r="F19" s="17">
        <f t="shared" si="0"/>
        <v>565.48704852243702</v>
      </c>
      <c r="G19" s="17">
        <f t="shared" si="1"/>
        <v>364.83035388544329</v>
      </c>
      <c r="H19" s="17">
        <v>200.65669463699376</v>
      </c>
      <c r="I19" s="17">
        <v>4000</v>
      </c>
      <c r="J19" s="16" t="s">
        <v>16</v>
      </c>
      <c r="K19" s="16" t="s">
        <v>79</v>
      </c>
      <c r="L19" s="18">
        <v>12</v>
      </c>
      <c r="M19" s="18">
        <v>308611357</v>
      </c>
    </row>
    <row r="20" spans="1:13" s="20" customFormat="1" ht="30" x14ac:dyDescent="0.25">
      <c r="A20" s="13">
        <v>17</v>
      </c>
      <c r="B20" s="14">
        <v>17</v>
      </c>
      <c r="C20" s="15" t="s">
        <v>80</v>
      </c>
      <c r="D20" s="16" t="s">
        <v>26</v>
      </c>
      <c r="E20" s="16" t="s">
        <v>81</v>
      </c>
      <c r="F20" s="17">
        <f t="shared" si="0"/>
        <v>638.45311929952572</v>
      </c>
      <c r="G20" s="17">
        <f t="shared" si="1"/>
        <v>446.91718350966801</v>
      </c>
      <c r="H20" s="17">
        <v>191.53593578985772</v>
      </c>
      <c r="I20" s="17">
        <v>4900</v>
      </c>
      <c r="J20" s="16" t="s">
        <v>22</v>
      </c>
      <c r="K20" s="16" t="s">
        <v>82</v>
      </c>
      <c r="L20" s="18">
        <v>23</v>
      </c>
      <c r="M20" s="19" t="s">
        <v>83</v>
      </c>
    </row>
    <row r="21" spans="1:13" s="20" customFormat="1" x14ac:dyDescent="0.25">
      <c r="A21" s="13">
        <v>18</v>
      </c>
      <c r="B21" s="14">
        <v>18</v>
      </c>
      <c r="C21" s="15" t="s">
        <v>84</v>
      </c>
      <c r="D21" s="16" t="s">
        <v>69</v>
      </c>
      <c r="E21" s="16" t="s">
        <v>85</v>
      </c>
      <c r="F21" s="17">
        <f t="shared" si="0"/>
        <v>399.15222546515872</v>
      </c>
      <c r="G21" s="17">
        <f t="shared" si="1"/>
        <v>77.526450200656697</v>
      </c>
      <c r="H21" s="17">
        <v>321.62577526450201</v>
      </c>
      <c r="I21" s="17">
        <v>850</v>
      </c>
      <c r="J21" s="16" t="s">
        <v>22</v>
      </c>
      <c r="K21" s="16" t="s">
        <v>86</v>
      </c>
      <c r="L21" s="18">
        <v>5</v>
      </c>
      <c r="M21" s="19" t="s">
        <v>87</v>
      </c>
    </row>
    <row r="22" spans="1:13" s="20" customFormat="1" x14ac:dyDescent="0.25">
      <c r="A22" s="13">
        <v>19</v>
      </c>
      <c r="B22" s="14">
        <v>19</v>
      </c>
      <c r="C22" s="15" t="s">
        <v>88</v>
      </c>
      <c r="D22" s="16" t="s">
        <v>26</v>
      </c>
      <c r="E22" s="16" t="s">
        <v>81</v>
      </c>
      <c r="F22" s="17">
        <f t="shared" si="0"/>
        <v>720.65058372856629</v>
      </c>
      <c r="G22" s="17">
        <f t="shared" si="1"/>
        <v>420.28456767603063</v>
      </c>
      <c r="H22" s="17">
        <v>300.3660160525356</v>
      </c>
      <c r="I22" s="17">
        <v>4608</v>
      </c>
      <c r="J22" s="16" t="s">
        <v>22</v>
      </c>
      <c r="K22" s="16" t="s">
        <v>89</v>
      </c>
      <c r="L22" s="18">
        <v>15</v>
      </c>
      <c r="M22" s="19" t="s">
        <v>90</v>
      </c>
    </row>
    <row r="23" spans="1:13" s="20" customFormat="1" ht="48" customHeight="1" x14ac:dyDescent="0.25">
      <c r="A23" s="13">
        <v>20</v>
      </c>
      <c r="B23" s="14">
        <v>20</v>
      </c>
      <c r="C23" s="15" t="s">
        <v>91</v>
      </c>
      <c r="D23" s="16" t="s">
        <v>32</v>
      </c>
      <c r="E23" s="16" t="s">
        <v>33</v>
      </c>
      <c r="F23" s="17">
        <f t="shared" si="0"/>
        <v>35.774352426121858</v>
      </c>
      <c r="G23" s="17">
        <f t="shared" si="1"/>
        <v>23.054542137905877</v>
      </c>
      <c r="H23" s="17">
        <v>12.71981028821598</v>
      </c>
      <c r="I23" s="17">
        <v>252.77</v>
      </c>
      <c r="J23" s="16" t="s">
        <v>28</v>
      </c>
      <c r="K23" s="16" t="s">
        <v>74</v>
      </c>
      <c r="L23" s="18">
        <v>6</v>
      </c>
      <c r="M23" s="19" t="s">
        <v>92</v>
      </c>
    </row>
    <row r="24" spans="1:13" s="20" customFormat="1" ht="30" x14ac:dyDescent="0.25">
      <c r="A24" s="13">
        <v>21</v>
      </c>
      <c r="B24" s="14">
        <v>21</v>
      </c>
      <c r="C24" s="15" t="s">
        <v>93</v>
      </c>
      <c r="D24" s="16" t="s">
        <v>48</v>
      </c>
      <c r="E24" s="16" t="s">
        <v>49</v>
      </c>
      <c r="F24" s="17">
        <f t="shared" si="0"/>
        <v>157.33309011309743</v>
      </c>
      <c r="G24" s="17">
        <f t="shared" si="1"/>
        <v>82.086829624224748</v>
      </c>
      <c r="H24" s="17">
        <v>75.246260488872679</v>
      </c>
      <c r="I24" s="17">
        <v>900</v>
      </c>
      <c r="J24" s="16" t="s">
        <v>22</v>
      </c>
      <c r="K24" s="16" t="s">
        <v>94</v>
      </c>
      <c r="L24" s="18">
        <v>2</v>
      </c>
      <c r="M24" s="19" t="s">
        <v>95</v>
      </c>
    </row>
    <row r="25" spans="1:13" s="20" customFormat="1" ht="30" x14ac:dyDescent="0.25">
      <c r="A25" s="13">
        <v>22</v>
      </c>
      <c r="B25" s="14">
        <v>22</v>
      </c>
      <c r="C25" s="15" t="s">
        <v>96</v>
      </c>
      <c r="D25" s="16" t="s">
        <v>69</v>
      </c>
      <c r="E25" s="16" t="s">
        <v>97</v>
      </c>
      <c r="F25" s="17">
        <f t="shared" si="0"/>
        <v>51.45932141554178</v>
      </c>
      <c r="G25" s="17">
        <f t="shared" si="1"/>
        <v>35.570959503830721</v>
      </c>
      <c r="H25" s="17">
        <f>174200/10964</f>
        <v>15.888361911711055</v>
      </c>
      <c r="I25" s="17">
        <v>390</v>
      </c>
      <c r="J25" s="16" t="s">
        <v>98</v>
      </c>
      <c r="K25" s="16" t="s">
        <v>99</v>
      </c>
      <c r="L25" s="18">
        <v>2</v>
      </c>
      <c r="M25" s="19">
        <v>201024572</v>
      </c>
    </row>
    <row r="26" spans="1:13" s="20" customFormat="1" x14ac:dyDescent="0.25">
      <c r="A26" s="13">
        <v>23</v>
      </c>
      <c r="B26" s="14">
        <v>23</v>
      </c>
      <c r="C26" s="15" t="s">
        <v>100</v>
      </c>
      <c r="D26" s="16" t="s">
        <v>69</v>
      </c>
      <c r="E26" s="16" t="s">
        <v>101</v>
      </c>
      <c r="F26" s="17">
        <f t="shared" si="0"/>
        <v>357.05250237139728</v>
      </c>
      <c r="G26" s="17">
        <f t="shared" si="1"/>
        <v>155.05290040131339</v>
      </c>
      <c r="H26" s="17">
        <f>2214723.636/10964</f>
        <v>201.99960197008392</v>
      </c>
      <c r="I26" s="17">
        <v>1700</v>
      </c>
      <c r="J26" s="16" t="s">
        <v>22</v>
      </c>
      <c r="K26" s="16" t="s">
        <v>102</v>
      </c>
      <c r="L26" s="18">
        <v>8</v>
      </c>
      <c r="M26" s="19" t="s">
        <v>103</v>
      </c>
    </row>
    <row r="27" spans="1:13" s="20" customFormat="1" x14ac:dyDescent="0.25">
      <c r="A27" s="13">
        <v>24</v>
      </c>
      <c r="B27" s="14">
        <v>24</v>
      </c>
      <c r="C27" s="15" t="s">
        <v>104</v>
      </c>
      <c r="D27" s="16" t="s">
        <v>26</v>
      </c>
      <c r="E27" s="16" t="s">
        <v>105</v>
      </c>
      <c r="F27" s="17">
        <f t="shared" si="0"/>
        <v>121.99352426121854</v>
      </c>
      <c r="G27" s="17">
        <f t="shared" si="1"/>
        <v>77.526450200656697</v>
      </c>
      <c r="H27" s="17">
        <v>44.467074060561842</v>
      </c>
      <c r="I27" s="17">
        <v>850</v>
      </c>
      <c r="J27" s="16" t="s">
        <v>22</v>
      </c>
      <c r="K27" s="16" t="s">
        <v>106</v>
      </c>
      <c r="L27" s="18">
        <v>5</v>
      </c>
      <c r="M27" s="19" t="s">
        <v>107</v>
      </c>
    </row>
    <row r="28" spans="1:13" s="20" customFormat="1" ht="30" x14ac:dyDescent="0.25">
      <c r="A28" s="13">
        <v>25</v>
      </c>
      <c r="B28" s="14">
        <v>25</v>
      </c>
      <c r="C28" s="15" t="s">
        <v>108</v>
      </c>
      <c r="D28" s="16" t="s">
        <v>26</v>
      </c>
      <c r="E28" s="16" t="s">
        <v>109</v>
      </c>
      <c r="F28" s="17">
        <f t="shared" si="0"/>
        <v>330.27335443268879</v>
      </c>
      <c r="G28" s="17">
        <f t="shared" si="1"/>
        <v>183.32725282743525</v>
      </c>
      <c r="H28" s="17">
        <f>1611117.058/10964</f>
        <v>146.94610160525355</v>
      </c>
      <c r="I28" s="17">
        <v>2010</v>
      </c>
      <c r="J28" s="16" t="s">
        <v>22</v>
      </c>
      <c r="K28" s="16" t="s">
        <v>110</v>
      </c>
      <c r="L28" s="18">
        <v>13</v>
      </c>
      <c r="M28" s="19" t="s">
        <v>111</v>
      </c>
    </row>
    <row r="29" spans="1:13" s="20" customFormat="1" x14ac:dyDescent="0.25">
      <c r="A29" s="13">
        <v>26</v>
      </c>
      <c r="B29" s="14">
        <v>26</v>
      </c>
      <c r="C29" s="15" t="s">
        <v>112</v>
      </c>
      <c r="D29" s="16" t="s">
        <v>26</v>
      </c>
      <c r="E29" s="16" t="s">
        <v>113</v>
      </c>
      <c r="F29" s="17">
        <f t="shared" si="0"/>
        <v>729.66070777088657</v>
      </c>
      <c r="G29" s="17">
        <f t="shared" si="1"/>
        <v>451.47756293323602</v>
      </c>
      <c r="H29" s="17">
        <f>3050000/10964</f>
        <v>278.1831448376505</v>
      </c>
      <c r="I29" s="17">
        <v>4950</v>
      </c>
      <c r="J29" s="16" t="s">
        <v>22</v>
      </c>
      <c r="K29" s="16" t="s">
        <v>114</v>
      </c>
      <c r="L29" s="18">
        <v>5</v>
      </c>
      <c r="M29" s="19" t="s">
        <v>115</v>
      </c>
    </row>
    <row r="30" spans="1:13" s="20" customFormat="1" ht="105" x14ac:dyDescent="0.25">
      <c r="A30" s="13">
        <v>27</v>
      </c>
      <c r="B30" s="14">
        <v>27</v>
      </c>
      <c r="C30" s="15" t="s">
        <v>116</v>
      </c>
      <c r="D30" s="16" t="s">
        <v>32</v>
      </c>
      <c r="E30" s="16" t="s">
        <v>117</v>
      </c>
      <c r="F30" s="17">
        <f t="shared" si="0"/>
        <v>1446.0530828164904</v>
      </c>
      <c r="G30" s="17">
        <f t="shared" si="1"/>
        <v>957.67967894928859</v>
      </c>
      <c r="H30" s="17">
        <f>5354526/10964</f>
        <v>488.37340386720177</v>
      </c>
      <c r="I30" s="17">
        <v>10500</v>
      </c>
      <c r="J30" s="16" t="s">
        <v>22</v>
      </c>
      <c r="K30" s="16" t="s">
        <v>118</v>
      </c>
      <c r="L30" s="18">
        <v>10</v>
      </c>
      <c r="M30" s="19" t="s">
        <v>119</v>
      </c>
    </row>
    <row r="31" spans="1:13" s="20" customFormat="1" x14ac:dyDescent="0.25">
      <c r="A31" s="13">
        <v>28</v>
      </c>
      <c r="B31" s="14">
        <v>28</v>
      </c>
      <c r="C31" s="15" t="s">
        <v>120</v>
      </c>
      <c r="D31" s="16" t="s">
        <v>26</v>
      </c>
      <c r="E31" s="16" t="s">
        <v>121</v>
      </c>
      <c r="F31" s="17">
        <f t="shared" si="0"/>
        <v>950.71816855162353</v>
      </c>
      <c r="G31" s="17">
        <f t="shared" si="1"/>
        <v>364.83035388544329</v>
      </c>
      <c r="H31" s="17">
        <f>6423674/10964</f>
        <v>585.88781466618025</v>
      </c>
      <c r="I31" s="17">
        <v>4000</v>
      </c>
      <c r="J31" s="16" t="s">
        <v>122</v>
      </c>
      <c r="K31" s="16" t="s">
        <v>123</v>
      </c>
      <c r="L31" s="18">
        <v>15</v>
      </c>
      <c r="M31" s="19" t="s">
        <v>124</v>
      </c>
    </row>
    <row r="32" spans="1:13" s="20" customFormat="1" ht="30" x14ac:dyDescent="0.25">
      <c r="A32" s="13">
        <v>29</v>
      </c>
      <c r="B32" s="14">
        <v>29</v>
      </c>
      <c r="C32" s="15" t="s">
        <v>125</v>
      </c>
      <c r="D32" s="16" t="s">
        <v>26</v>
      </c>
      <c r="E32" s="16" t="s">
        <v>121</v>
      </c>
      <c r="F32" s="17">
        <f t="shared" si="0"/>
        <v>159.15724188252463</v>
      </c>
      <c r="G32" s="17">
        <f t="shared" si="1"/>
        <v>95.767967894928859</v>
      </c>
      <c r="H32" s="17">
        <f>695000/10964</f>
        <v>63.389273987595764</v>
      </c>
      <c r="I32" s="17">
        <v>1050</v>
      </c>
      <c r="J32" s="16" t="s">
        <v>126</v>
      </c>
      <c r="K32" s="16" t="s">
        <v>127</v>
      </c>
      <c r="L32" s="18">
        <v>8</v>
      </c>
      <c r="M32" s="19" t="s">
        <v>128</v>
      </c>
    </row>
    <row r="33" spans="1:13" s="20" customFormat="1" ht="63.75" customHeight="1" x14ac:dyDescent="0.25">
      <c r="A33" s="13">
        <v>30</v>
      </c>
      <c r="B33" s="14">
        <v>30</v>
      </c>
      <c r="C33" s="15" t="s">
        <v>129</v>
      </c>
      <c r="D33" s="16" t="s">
        <v>32</v>
      </c>
      <c r="E33" s="16" t="s">
        <v>33</v>
      </c>
      <c r="F33" s="17">
        <f t="shared" si="0"/>
        <v>91.207588471360822</v>
      </c>
      <c r="G33" s="17">
        <f t="shared" si="1"/>
        <v>45.603794235680411</v>
      </c>
      <c r="H33" s="17">
        <f>500000/10964</f>
        <v>45.603794235680411</v>
      </c>
      <c r="I33" s="17">
        <v>500</v>
      </c>
      <c r="J33" s="16" t="s">
        <v>28</v>
      </c>
      <c r="K33" s="16" t="s">
        <v>130</v>
      </c>
      <c r="L33" s="18">
        <v>6</v>
      </c>
      <c r="M33" s="19" t="s">
        <v>131</v>
      </c>
    </row>
    <row r="34" spans="1:13" s="20" customFormat="1" ht="30" x14ac:dyDescent="0.25">
      <c r="A34" s="13">
        <v>31</v>
      </c>
      <c r="B34" s="14">
        <v>31</v>
      </c>
      <c r="C34" s="15" t="s">
        <v>132</v>
      </c>
      <c r="D34" s="16" t="s">
        <v>14</v>
      </c>
      <c r="E34" s="16" t="s">
        <v>133</v>
      </c>
      <c r="F34" s="17">
        <f t="shared" si="0"/>
        <v>64.078976650857356</v>
      </c>
      <c r="G34" s="17">
        <f t="shared" si="1"/>
        <v>44.691718350966802</v>
      </c>
      <c r="H34" s="17">
        <f>212561.9/10964</f>
        <v>19.387258299890551</v>
      </c>
      <c r="I34" s="17">
        <v>490</v>
      </c>
      <c r="J34" s="16" t="s">
        <v>28</v>
      </c>
      <c r="K34" s="16" t="s">
        <v>134</v>
      </c>
      <c r="L34" s="18">
        <v>3</v>
      </c>
      <c r="M34" s="19" t="s">
        <v>135</v>
      </c>
    </row>
    <row r="35" spans="1:13" s="20" customFormat="1" ht="30" x14ac:dyDescent="0.25">
      <c r="A35" s="13">
        <v>32</v>
      </c>
      <c r="B35" s="14">
        <v>32</v>
      </c>
      <c r="C35" s="15" t="s">
        <v>136</v>
      </c>
      <c r="D35" s="16" t="s">
        <v>77</v>
      </c>
      <c r="E35" s="16" t="s">
        <v>137</v>
      </c>
      <c r="F35" s="17">
        <f t="shared" si="0"/>
        <v>38.763225100328349</v>
      </c>
      <c r="G35" s="17">
        <f t="shared" si="1"/>
        <v>27.134257570229845</v>
      </c>
      <c r="H35" s="17">
        <f>127500/10964</f>
        <v>11.628967530098505</v>
      </c>
      <c r="I35" s="17">
        <v>297.5</v>
      </c>
      <c r="J35" s="16" t="s">
        <v>28</v>
      </c>
      <c r="K35" s="16" t="s">
        <v>138</v>
      </c>
      <c r="L35" s="18">
        <v>5</v>
      </c>
      <c r="M35" s="19" t="s">
        <v>139</v>
      </c>
    </row>
    <row r="36" spans="1:13" s="20" customFormat="1" x14ac:dyDescent="0.25">
      <c r="A36" s="13">
        <v>33</v>
      </c>
      <c r="B36" s="14">
        <v>33</v>
      </c>
      <c r="C36" s="15" t="s">
        <v>140</v>
      </c>
      <c r="D36" s="16" t="s">
        <v>26</v>
      </c>
      <c r="E36" s="16" t="s">
        <v>141</v>
      </c>
      <c r="F36" s="17">
        <f t="shared" si="0"/>
        <v>234.40350237139731</v>
      </c>
      <c r="G36" s="17">
        <f t="shared" si="1"/>
        <v>108.53703028091938</v>
      </c>
      <c r="H36" s="17">
        <f>1380000/10964</f>
        <v>125.86647209047793</v>
      </c>
      <c r="I36" s="17">
        <v>1190</v>
      </c>
      <c r="J36" s="16" t="s">
        <v>126</v>
      </c>
      <c r="K36" s="16" t="s">
        <v>142</v>
      </c>
      <c r="L36" s="18">
        <v>11</v>
      </c>
      <c r="M36" s="19" t="s">
        <v>143</v>
      </c>
    </row>
    <row r="37" spans="1:13" s="20" customFormat="1" ht="30" x14ac:dyDescent="0.25">
      <c r="A37" s="13">
        <v>34</v>
      </c>
      <c r="B37" s="14">
        <v>34</v>
      </c>
      <c r="C37" s="15" t="s">
        <v>144</v>
      </c>
      <c r="D37" s="16" t="s">
        <v>32</v>
      </c>
      <c r="E37" s="16" t="s">
        <v>145</v>
      </c>
      <c r="F37" s="17">
        <f t="shared" si="0"/>
        <v>52.900401313389267</v>
      </c>
      <c r="G37" s="17">
        <f t="shared" si="1"/>
        <v>36.483035388544323</v>
      </c>
      <c r="H37" s="17">
        <f>180000/10964</f>
        <v>16.417365924844948</v>
      </c>
      <c r="I37" s="17">
        <v>400</v>
      </c>
      <c r="J37" s="16" t="s">
        <v>28</v>
      </c>
      <c r="K37" s="16" t="s">
        <v>146</v>
      </c>
      <c r="L37" s="18">
        <v>2</v>
      </c>
      <c r="M37" s="19" t="s">
        <v>147</v>
      </c>
    </row>
    <row r="38" spans="1:13" s="20" customFormat="1" x14ac:dyDescent="0.25">
      <c r="A38" s="13">
        <v>35</v>
      </c>
      <c r="B38" s="14">
        <v>35</v>
      </c>
      <c r="C38" s="15" t="s">
        <v>148</v>
      </c>
      <c r="D38" s="16" t="s">
        <v>32</v>
      </c>
      <c r="E38" s="16" t="s">
        <v>33</v>
      </c>
      <c r="F38" s="17">
        <f t="shared" si="0"/>
        <v>41.955490696825976</v>
      </c>
      <c r="G38" s="17">
        <f t="shared" si="1"/>
        <v>23.713973002553814</v>
      </c>
      <c r="H38" s="17">
        <f>200000/10964</f>
        <v>18.241517694272165</v>
      </c>
      <c r="I38" s="17">
        <v>260</v>
      </c>
      <c r="J38" s="16" t="s">
        <v>28</v>
      </c>
      <c r="K38" s="16" t="s">
        <v>149</v>
      </c>
      <c r="L38" s="18">
        <v>3</v>
      </c>
      <c r="M38" s="19" t="s">
        <v>150</v>
      </c>
    </row>
    <row r="39" spans="1:13" s="20" customFormat="1" ht="30" x14ac:dyDescent="0.25">
      <c r="A39" s="13">
        <v>36</v>
      </c>
      <c r="B39" s="14">
        <v>36</v>
      </c>
      <c r="C39" s="15" t="s">
        <v>151</v>
      </c>
      <c r="D39" s="16" t="s">
        <v>48</v>
      </c>
      <c r="E39" s="16" t="s">
        <v>152</v>
      </c>
      <c r="F39" s="17">
        <f t="shared" si="0"/>
        <v>1188.3080718715796</v>
      </c>
      <c r="G39" s="17">
        <f t="shared" si="1"/>
        <v>323.17676030645748</v>
      </c>
      <c r="H39" s="17">
        <f>9485299.7/10964</f>
        <v>865.13131156512213</v>
      </c>
      <c r="I39" s="17">
        <v>3543.31</v>
      </c>
      <c r="J39" s="16" t="s">
        <v>28</v>
      </c>
      <c r="K39" s="16" t="s">
        <v>153</v>
      </c>
      <c r="L39" s="18">
        <v>14</v>
      </c>
      <c r="M39" s="19" t="s">
        <v>154</v>
      </c>
    </row>
    <row r="40" spans="1:13" s="20" customFormat="1" x14ac:dyDescent="0.25">
      <c r="A40" s="13">
        <v>37</v>
      </c>
      <c r="B40" s="14">
        <v>37</v>
      </c>
      <c r="C40" s="15" t="s">
        <v>155</v>
      </c>
      <c r="D40" s="16" t="s">
        <v>32</v>
      </c>
      <c r="E40" s="16" t="s">
        <v>33</v>
      </c>
      <c r="F40" s="17">
        <f t="shared" si="0"/>
        <v>45.603794235680411</v>
      </c>
      <c r="G40" s="17">
        <f t="shared" si="1"/>
        <v>27.362276541408246</v>
      </c>
      <c r="H40" s="17">
        <f>200000/10964</f>
        <v>18.241517694272165</v>
      </c>
      <c r="I40" s="17">
        <v>300</v>
      </c>
      <c r="J40" s="16" t="s">
        <v>28</v>
      </c>
      <c r="K40" s="16" t="s">
        <v>156</v>
      </c>
      <c r="L40" s="18">
        <v>5</v>
      </c>
      <c r="M40" s="19" t="s">
        <v>157</v>
      </c>
    </row>
    <row r="41" spans="1:13" s="20" customFormat="1" ht="30" x14ac:dyDescent="0.25">
      <c r="A41" s="13">
        <v>38</v>
      </c>
      <c r="B41" s="14">
        <v>38</v>
      </c>
      <c r="C41" s="15" t="s">
        <v>158</v>
      </c>
      <c r="D41" s="16" t="s">
        <v>14</v>
      </c>
      <c r="E41" s="16" t="s">
        <v>133</v>
      </c>
      <c r="F41" s="17">
        <f t="shared" si="0"/>
        <v>82.766326158336369</v>
      </c>
      <c r="G41" s="17">
        <f t="shared" si="1"/>
        <v>57.916818679314119</v>
      </c>
      <c r="H41" s="17">
        <f>272450/10964</f>
        <v>24.849507479022254</v>
      </c>
      <c r="I41" s="17">
        <v>635</v>
      </c>
      <c r="J41" s="16" t="s">
        <v>28</v>
      </c>
      <c r="K41" s="16" t="s">
        <v>159</v>
      </c>
      <c r="L41" s="18">
        <v>3</v>
      </c>
      <c r="M41" s="19" t="s">
        <v>160</v>
      </c>
    </row>
    <row r="42" spans="1:13" s="20" customFormat="1" x14ac:dyDescent="0.25">
      <c r="A42" s="13">
        <v>39</v>
      </c>
      <c r="B42" s="14">
        <v>39</v>
      </c>
      <c r="C42" s="15" t="s">
        <v>161</v>
      </c>
      <c r="D42" s="16" t="s">
        <v>14</v>
      </c>
      <c r="E42" s="16" t="s">
        <v>162</v>
      </c>
      <c r="F42" s="17">
        <f t="shared" si="0"/>
        <v>66.367238234221091</v>
      </c>
      <c r="G42" s="17">
        <f t="shared" si="1"/>
        <v>45.603794235680411</v>
      </c>
      <c r="H42" s="17">
        <f>227650.4/10964</f>
        <v>20.763443998540676</v>
      </c>
      <c r="I42" s="17">
        <v>500</v>
      </c>
      <c r="J42" s="16" t="s">
        <v>16</v>
      </c>
      <c r="K42" s="16" t="s">
        <v>163</v>
      </c>
      <c r="L42" s="18">
        <v>7</v>
      </c>
      <c r="M42" s="19" t="s">
        <v>164</v>
      </c>
    </row>
    <row r="43" spans="1:13" s="20" customFormat="1" x14ac:dyDescent="0.25">
      <c r="A43" s="13">
        <v>40</v>
      </c>
      <c r="B43" s="14">
        <v>40</v>
      </c>
      <c r="C43" s="15" t="s">
        <v>165</v>
      </c>
      <c r="D43" s="16" t="s">
        <v>14</v>
      </c>
      <c r="E43" s="16" t="s">
        <v>15</v>
      </c>
      <c r="F43" s="17">
        <f t="shared" si="0"/>
        <v>63.864921561473921</v>
      </c>
      <c r="G43" s="17">
        <f t="shared" si="1"/>
        <v>44.691718350966802</v>
      </c>
      <c r="H43" s="17">
        <f>210215/10964</f>
        <v>19.173203210507115</v>
      </c>
      <c r="I43" s="17">
        <v>490</v>
      </c>
      <c r="J43" s="16" t="s">
        <v>16</v>
      </c>
      <c r="K43" s="16" t="s">
        <v>166</v>
      </c>
      <c r="L43" s="18">
        <v>2</v>
      </c>
      <c r="M43" s="19" t="s">
        <v>167</v>
      </c>
    </row>
    <row r="44" spans="1:13" s="20" customFormat="1" ht="30" x14ac:dyDescent="0.25">
      <c r="A44" s="13">
        <v>41</v>
      </c>
      <c r="B44" s="14">
        <v>41</v>
      </c>
      <c r="C44" s="15" t="s">
        <v>168</v>
      </c>
      <c r="D44" s="16" t="s">
        <v>20</v>
      </c>
      <c r="E44" s="16" t="s">
        <v>169</v>
      </c>
      <c r="F44" s="17">
        <f t="shared" si="0"/>
        <v>233.3019336008756</v>
      </c>
      <c r="G44" s="17">
        <f t="shared" si="1"/>
        <v>161.08292593943816</v>
      </c>
      <c r="H44" s="17">
        <f>791809.2/10964</f>
        <v>72.219007661437431</v>
      </c>
      <c r="I44" s="17">
        <v>1766.1132</v>
      </c>
      <c r="J44" s="16" t="s">
        <v>28</v>
      </c>
      <c r="K44" s="16" t="s">
        <v>170</v>
      </c>
      <c r="L44" s="18">
        <v>4</v>
      </c>
      <c r="M44" s="19" t="s">
        <v>171</v>
      </c>
    </row>
    <row r="45" spans="1:13" s="20" customFormat="1" ht="30" x14ac:dyDescent="0.25">
      <c r="A45" s="13">
        <v>42</v>
      </c>
      <c r="B45" s="14">
        <v>42</v>
      </c>
      <c r="C45" s="15" t="s">
        <v>172</v>
      </c>
      <c r="D45" s="16" t="s">
        <v>77</v>
      </c>
      <c r="E45" s="16" t="s">
        <v>173</v>
      </c>
      <c r="F45" s="17">
        <f t="shared" si="0"/>
        <v>19.15359357898577</v>
      </c>
      <c r="G45" s="17">
        <f t="shared" si="1"/>
        <v>13.225100328347319</v>
      </c>
      <c r="H45" s="17">
        <f>65000/10964</f>
        <v>5.9284932506384536</v>
      </c>
      <c r="I45" s="17">
        <v>145</v>
      </c>
      <c r="J45" s="16" t="s">
        <v>174</v>
      </c>
      <c r="K45" s="16" t="s">
        <v>175</v>
      </c>
      <c r="L45" s="18">
        <v>2</v>
      </c>
      <c r="M45" s="19" t="s">
        <v>176</v>
      </c>
    </row>
    <row r="46" spans="1:13" s="20" customFormat="1" ht="30" x14ac:dyDescent="0.25">
      <c r="A46" s="13">
        <v>43</v>
      </c>
      <c r="B46" s="14">
        <v>43</v>
      </c>
      <c r="C46" s="15" t="s">
        <v>177</v>
      </c>
      <c r="D46" s="16" t="s">
        <v>77</v>
      </c>
      <c r="E46" s="16" t="s">
        <v>173</v>
      </c>
      <c r="F46" s="17">
        <f t="shared" si="0"/>
        <v>99.370667639547605</v>
      </c>
      <c r="G46" s="17">
        <f t="shared" si="1"/>
        <v>59.284932506384528</v>
      </c>
      <c r="H46" s="17">
        <f>439500/10964</f>
        <v>40.085735133163077</v>
      </c>
      <c r="I46" s="17">
        <v>650</v>
      </c>
      <c r="J46" s="16" t="s">
        <v>28</v>
      </c>
      <c r="K46" s="16" t="s">
        <v>178</v>
      </c>
      <c r="L46" s="18">
        <v>2</v>
      </c>
      <c r="M46" s="19" t="s">
        <v>179</v>
      </c>
    </row>
    <row r="47" spans="1:13" s="20" customFormat="1" x14ac:dyDescent="0.25">
      <c r="A47" s="13">
        <v>44</v>
      </c>
      <c r="B47" s="14">
        <v>44</v>
      </c>
      <c r="C47" s="15" t="s">
        <v>180</v>
      </c>
      <c r="D47" s="16" t="s">
        <v>69</v>
      </c>
      <c r="E47" s="16" t="s">
        <v>181</v>
      </c>
      <c r="F47" s="17">
        <f t="shared" si="0"/>
        <v>48.410707770886539</v>
      </c>
      <c r="G47" s="17">
        <f t="shared" si="1"/>
        <v>27.362276541408246</v>
      </c>
      <c r="H47" s="17">
        <f>230775/10964</f>
        <v>21.048431229478293</v>
      </c>
      <c r="I47" s="17">
        <v>300</v>
      </c>
      <c r="J47" s="16" t="s">
        <v>16</v>
      </c>
      <c r="K47" s="16" t="s">
        <v>182</v>
      </c>
      <c r="L47" s="18">
        <v>9</v>
      </c>
      <c r="M47" s="19" t="s">
        <v>183</v>
      </c>
    </row>
    <row r="48" spans="1:13" s="20" customFormat="1" x14ac:dyDescent="0.25">
      <c r="A48" s="13">
        <v>45</v>
      </c>
      <c r="B48" s="14">
        <v>45</v>
      </c>
      <c r="C48" s="15" t="s">
        <v>184</v>
      </c>
      <c r="D48" s="16" t="s">
        <v>14</v>
      </c>
      <c r="E48" s="16" t="s">
        <v>133</v>
      </c>
      <c r="F48" s="17">
        <f t="shared" si="0"/>
        <v>42.023896388179502</v>
      </c>
      <c r="G48" s="17">
        <f t="shared" si="1"/>
        <v>29.368843487778186</v>
      </c>
      <c r="H48" s="17">
        <f>138750/10964</f>
        <v>12.655052900401314</v>
      </c>
      <c r="I48" s="17">
        <v>322</v>
      </c>
      <c r="J48" s="16" t="s">
        <v>28</v>
      </c>
      <c r="K48" s="16" t="s">
        <v>185</v>
      </c>
      <c r="L48" s="18">
        <v>2</v>
      </c>
      <c r="M48" s="19" t="s">
        <v>186</v>
      </c>
    </row>
    <row r="49" spans="1:13" s="20" customFormat="1" x14ac:dyDescent="0.25">
      <c r="A49" s="13">
        <v>46</v>
      </c>
      <c r="B49" s="14">
        <v>46</v>
      </c>
      <c r="C49" s="15" t="s">
        <v>187</v>
      </c>
      <c r="D49" s="16" t="s">
        <v>69</v>
      </c>
      <c r="E49" s="16" t="s">
        <v>101</v>
      </c>
      <c r="F49" s="17">
        <f t="shared" si="0"/>
        <v>69.422655964976286</v>
      </c>
      <c r="G49" s="17">
        <f t="shared" si="1"/>
        <v>45.603794235680411</v>
      </c>
      <c r="H49" s="17">
        <f>261150/10964</f>
        <v>23.818861729295879</v>
      </c>
      <c r="I49" s="17">
        <v>500</v>
      </c>
      <c r="J49" s="16" t="s">
        <v>16</v>
      </c>
      <c r="K49" s="16" t="s">
        <v>188</v>
      </c>
      <c r="L49" s="18">
        <v>5</v>
      </c>
      <c r="M49" s="19" t="s">
        <v>189</v>
      </c>
    </row>
    <row r="50" spans="1:13" s="20" customFormat="1" ht="30" x14ac:dyDescent="0.25">
      <c r="A50" s="13">
        <v>47</v>
      </c>
      <c r="B50" s="14">
        <v>47</v>
      </c>
      <c r="C50" s="15" t="s">
        <v>190</v>
      </c>
      <c r="D50" s="16" t="s">
        <v>32</v>
      </c>
      <c r="E50" s="16" t="s">
        <v>145</v>
      </c>
      <c r="F50" s="17">
        <f t="shared" si="0"/>
        <v>44.235680408609994</v>
      </c>
      <c r="G50" s="17">
        <f t="shared" si="1"/>
        <v>30.098504195549069</v>
      </c>
      <c r="H50" s="17">
        <f>155000/10964</f>
        <v>14.137176213060927</v>
      </c>
      <c r="I50" s="17">
        <v>330</v>
      </c>
      <c r="J50" s="16" t="s">
        <v>28</v>
      </c>
      <c r="K50" s="16" t="s">
        <v>191</v>
      </c>
      <c r="L50" s="18">
        <v>2</v>
      </c>
      <c r="M50" s="19" t="s">
        <v>192</v>
      </c>
    </row>
    <row r="51" spans="1:13" s="20" customFormat="1" ht="45" x14ac:dyDescent="0.25">
      <c r="A51" s="13">
        <v>48</v>
      </c>
      <c r="B51" s="14">
        <v>48</v>
      </c>
      <c r="C51" s="15" t="s">
        <v>193</v>
      </c>
      <c r="D51" s="16" t="s">
        <v>26</v>
      </c>
      <c r="E51" s="16" t="s">
        <v>121</v>
      </c>
      <c r="F51" s="17">
        <f t="shared" si="0"/>
        <v>657.61765778912809</v>
      </c>
      <c r="G51" s="17">
        <f t="shared" si="1"/>
        <v>214.33783290769793</v>
      </c>
      <c r="H51" s="17">
        <f>4860120/10964</f>
        <v>443.27982488143016</v>
      </c>
      <c r="I51" s="17">
        <v>2350</v>
      </c>
      <c r="J51" s="16" t="s">
        <v>28</v>
      </c>
      <c r="K51" s="16" t="s">
        <v>194</v>
      </c>
      <c r="L51" s="18">
        <v>12</v>
      </c>
      <c r="M51" s="19" t="s">
        <v>195</v>
      </c>
    </row>
    <row r="52" spans="1:13" s="20" customFormat="1" ht="36.75" customHeight="1" x14ac:dyDescent="0.25">
      <c r="A52" s="13">
        <v>49</v>
      </c>
      <c r="B52" s="14">
        <v>49</v>
      </c>
      <c r="C52" s="15" t="s">
        <v>196</v>
      </c>
      <c r="D52" s="16" t="s">
        <v>77</v>
      </c>
      <c r="E52" s="16" t="s">
        <v>197</v>
      </c>
      <c r="F52" s="17">
        <f t="shared" si="0"/>
        <v>125.82743524261218</v>
      </c>
      <c r="G52" s="17">
        <f t="shared" si="1"/>
        <v>57.786574242977011</v>
      </c>
      <c r="H52" s="17">
        <f>746000/10964</f>
        <v>68.040860999635171</v>
      </c>
      <c r="I52" s="17">
        <v>633.572</v>
      </c>
      <c r="J52" s="16" t="s">
        <v>28</v>
      </c>
      <c r="K52" s="16" t="s">
        <v>198</v>
      </c>
      <c r="L52" s="18">
        <v>3</v>
      </c>
      <c r="M52" s="19" t="s">
        <v>199</v>
      </c>
    </row>
    <row r="53" spans="1:13" s="20" customFormat="1" ht="30" x14ac:dyDescent="0.25">
      <c r="A53" s="13">
        <v>50</v>
      </c>
      <c r="B53" s="14">
        <v>50</v>
      </c>
      <c r="C53" s="15" t="s">
        <v>200</v>
      </c>
      <c r="D53" s="16" t="s">
        <v>48</v>
      </c>
      <c r="E53" s="16" t="s">
        <v>201</v>
      </c>
      <c r="F53" s="17">
        <f t="shared" si="0"/>
        <v>141.59978110178767</v>
      </c>
      <c r="G53" s="17">
        <f t="shared" si="1"/>
        <v>91.207588471360822</v>
      </c>
      <c r="H53" s="17">
        <f>552500/10964</f>
        <v>50.392192630426848</v>
      </c>
      <c r="I53" s="17">
        <v>1000</v>
      </c>
      <c r="J53" s="16" t="s">
        <v>202</v>
      </c>
      <c r="K53" s="16" t="s">
        <v>203</v>
      </c>
      <c r="L53" s="18">
        <v>5</v>
      </c>
      <c r="M53" s="19" t="s">
        <v>204</v>
      </c>
    </row>
    <row r="54" spans="1:13" s="20" customFormat="1" x14ac:dyDescent="0.25">
      <c r="A54" s="13">
        <v>51</v>
      </c>
      <c r="B54" s="14">
        <v>51</v>
      </c>
      <c r="C54" s="15" t="s">
        <v>205</v>
      </c>
      <c r="D54" s="16" t="s">
        <v>26</v>
      </c>
      <c r="E54" s="16" t="s">
        <v>206</v>
      </c>
      <c r="F54" s="17">
        <f t="shared" si="0"/>
        <v>155.96570594673477</v>
      </c>
      <c r="G54" s="17">
        <f t="shared" si="1"/>
        <v>98.504925209777454</v>
      </c>
      <c r="H54" s="17">
        <f>630000/10964</f>
        <v>57.460780736957318</v>
      </c>
      <c r="I54" s="17">
        <v>1080.008</v>
      </c>
      <c r="J54" s="16" t="s">
        <v>28</v>
      </c>
      <c r="K54" s="16" t="s">
        <v>207</v>
      </c>
      <c r="L54" s="18">
        <v>5</v>
      </c>
      <c r="M54" s="19" t="s">
        <v>208</v>
      </c>
    </row>
    <row r="55" spans="1:13" s="20" customFormat="1" ht="30" x14ac:dyDescent="0.25">
      <c r="A55" s="13">
        <v>52</v>
      </c>
      <c r="B55" s="14">
        <v>52</v>
      </c>
      <c r="C55" s="15" t="s">
        <v>209</v>
      </c>
      <c r="D55" s="16" t="s">
        <v>26</v>
      </c>
      <c r="E55" s="16" t="s">
        <v>121</v>
      </c>
      <c r="F55" s="17">
        <f t="shared" si="0"/>
        <v>429.22331265961327</v>
      </c>
      <c r="G55" s="17">
        <f t="shared" si="1"/>
        <v>101.60525355709595</v>
      </c>
      <c r="H55" s="17">
        <f>3592004.4/10964</f>
        <v>327.61805910251729</v>
      </c>
      <c r="I55" s="17">
        <v>1114</v>
      </c>
      <c r="J55" s="16" t="s">
        <v>28</v>
      </c>
      <c r="K55" s="16" t="s">
        <v>210</v>
      </c>
      <c r="L55" s="18">
        <v>12</v>
      </c>
      <c r="M55" s="19" t="s">
        <v>211</v>
      </c>
    </row>
    <row r="56" spans="1:13" s="20" customFormat="1" x14ac:dyDescent="0.25">
      <c r="A56" s="13">
        <v>53</v>
      </c>
      <c r="B56" s="14">
        <v>53</v>
      </c>
      <c r="C56" s="15" t="s">
        <v>212</v>
      </c>
      <c r="D56" s="16" t="s">
        <v>32</v>
      </c>
      <c r="E56" s="16" t="s">
        <v>33</v>
      </c>
      <c r="F56" s="17">
        <f t="shared" si="0"/>
        <v>100.3283473184969</v>
      </c>
      <c r="G56" s="17">
        <f t="shared" si="1"/>
        <v>69.773805180591026</v>
      </c>
      <c r="H56" s="17">
        <f>335000/10964</f>
        <v>30.554542137905873</v>
      </c>
      <c r="I56" s="17">
        <v>765</v>
      </c>
      <c r="J56" s="16" t="s">
        <v>28</v>
      </c>
      <c r="K56" s="16" t="s">
        <v>213</v>
      </c>
      <c r="L56" s="18">
        <v>3</v>
      </c>
      <c r="M56" s="19" t="s">
        <v>214</v>
      </c>
    </row>
    <row r="57" spans="1:13" s="20" customFormat="1" x14ac:dyDescent="0.25">
      <c r="A57" s="13">
        <v>54</v>
      </c>
      <c r="B57" s="14">
        <v>54</v>
      </c>
      <c r="C57" s="15" t="s">
        <v>215</v>
      </c>
      <c r="D57" s="16" t="s">
        <v>14</v>
      </c>
      <c r="E57" s="16" t="s">
        <v>162</v>
      </c>
      <c r="F57" s="17">
        <f t="shared" si="0"/>
        <v>187.56045238963884</v>
      </c>
      <c r="G57" s="17">
        <f t="shared" si="1"/>
        <v>80.718715797154331</v>
      </c>
      <c r="H57" s="17">
        <f>1171412.8/10964</f>
        <v>106.84173659248449</v>
      </c>
      <c r="I57" s="17">
        <v>885</v>
      </c>
      <c r="J57" s="16" t="s">
        <v>28</v>
      </c>
      <c r="K57" s="16" t="s">
        <v>216</v>
      </c>
      <c r="L57" s="18">
        <v>2</v>
      </c>
      <c r="M57" s="19" t="s">
        <v>217</v>
      </c>
    </row>
    <row r="58" spans="1:13" s="20" customFormat="1" ht="30" x14ac:dyDescent="0.25">
      <c r="A58" s="13">
        <v>55</v>
      </c>
      <c r="B58" s="14">
        <v>55</v>
      </c>
      <c r="C58" s="15" t="s">
        <v>218</v>
      </c>
      <c r="D58" s="16" t="s">
        <v>32</v>
      </c>
      <c r="E58" s="16" t="s">
        <v>145</v>
      </c>
      <c r="F58" s="17">
        <f t="shared" si="0"/>
        <v>27.362276541408249</v>
      </c>
      <c r="G58" s="17">
        <f t="shared" si="1"/>
        <v>19.153593578985774</v>
      </c>
      <c r="H58" s="17">
        <f>90000/10964</f>
        <v>8.2086829624224738</v>
      </c>
      <c r="I58" s="17">
        <v>210</v>
      </c>
      <c r="J58" s="16" t="s">
        <v>28</v>
      </c>
      <c r="K58" s="16" t="s">
        <v>219</v>
      </c>
      <c r="L58" s="18">
        <v>3</v>
      </c>
      <c r="M58" s="19" t="s">
        <v>220</v>
      </c>
    </row>
    <row r="59" spans="1:13" s="20" customFormat="1" ht="30" x14ac:dyDescent="0.25">
      <c r="A59" s="13">
        <v>56</v>
      </c>
      <c r="B59" s="14">
        <v>56</v>
      </c>
      <c r="C59" s="15" t="s">
        <v>221</v>
      </c>
      <c r="D59" s="16" t="s">
        <v>77</v>
      </c>
      <c r="E59" s="16" t="s">
        <v>173</v>
      </c>
      <c r="F59" s="17">
        <f t="shared" si="0"/>
        <v>2212.1488507843851</v>
      </c>
      <c r="G59" s="17">
        <f t="shared" si="1"/>
        <v>955.39948923750455</v>
      </c>
      <c r="H59" s="17">
        <f>13779000/10964</f>
        <v>1256.7493615468807</v>
      </c>
      <c r="I59" s="17">
        <v>10475</v>
      </c>
      <c r="J59" s="16" t="s">
        <v>122</v>
      </c>
      <c r="K59" s="16" t="s">
        <v>222</v>
      </c>
      <c r="L59" s="18">
        <v>25</v>
      </c>
      <c r="M59" s="19" t="s">
        <v>223</v>
      </c>
    </row>
    <row r="60" spans="1:13" s="20" customFormat="1" ht="30" x14ac:dyDescent="0.25">
      <c r="A60" s="13">
        <v>57</v>
      </c>
      <c r="B60" s="14">
        <v>57</v>
      </c>
      <c r="C60" s="15" t="s">
        <v>224</v>
      </c>
      <c r="D60" s="16" t="s">
        <v>225</v>
      </c>
      <c r="E60" s="16" t="s">
        <v>226</v>
      </c>
      <c r="F60" s="17">
        <f t="shared" si="0"/>
        <v>43.506019700839104</v>
      </c>
      <c r="G60" s="17">
        <f>+I60/10964*1000</f>
        <v>19.974461875228016</v>
      </c>
      <c r="H60" s="17">
        <f>258000/10964</f>
        <v>23.531557825611092</v>
      </c>
      <c r="I60" s="17">
        <v>219</v>
      </c>
      <c r="J60" s="16" t="s">
        <v>28</v>
      </c>
      <c r="K60" s="16" t="s">
        <v>227</v>
      </c>
      <c r="L60" s="18">
        <v>2</v>
      </c>
      <c r="M60" s="19" t="s">
        <v>228</v>
      </c>
    </row>
    <row r="61" spans="1:13" s="20" customFormat="1" ht="45" customHeight="1" x14ac:dyDescent="0.25">
      <c r="A61" s="13">
        <v>58</v>
      </c>
      <c r="B61" s="14">
        <v>58</v>
      </c>
      <c r="C61" s="15" t="s">
        <v>229</v>
      </c>
      <c r="D61" s="16" t="s">
        <v>230</v>
      </c>
      <c r="E61" s="16" t="s">
        <v>231</v>
      </c>
      <c r="F61" s="17">
        <f t="shared" si="0"/>
        <v>410.43414812112371</v>
      </c>
      <c r="G61" s="17">
        <f t="shared" si="1"/>
        <v>182.41517694272164</v>
      </c>
      <c r="H61" s="17">
        <f>2500000/10964</f>
        <v>228.01897117840204</v>
      </c>
      <c r="I61" s="17">
        <v>2000</v>
      </c>
      <c r="J61" s="16" t="s">
        <v>16</v>
      </c>
      <c r="K61" s="16" t="s">
        <v>232</v>
      </c>
      <c r="L61" s="18">
        <v>13</v>
      </c>
      <c r="M61" s="19" t="s">
        <v>233</v>
      </c>
    </row>
    <row r="62" spans="1:13" s="20" customFormat="1" ht="45" customHeight="1" x14ac:dyDescent="0.25">
      <c r="A62" s="13">
        <v>59</v>
      </c>
      <c r="B62" s="14">
        <v>59</v>
      </c>
      <c r="C62" s="15" t="s">
        <v>234</v>
      </c>
      <c r="D62" s="16" t="s">
        <v>235</v>
      </c>
      <c r="E62" s="16" t="s">
        <v>236</v>
      </c>
      <c r="F62" s="17">
        <f t="shared" si="0"/>
        <v>456.03794235680408</v>
      </c>
      <c r="G62" s="17">
        <f t="shared" si="1"/>
        <v>273.62276541408244</v>
      </c>
      <c r="H62" s="17">
        <f>2000000/10964</f>
        <v>182.41517694272164</v>
      </c>
      <c r="I62" s="17">
        <v>3000</v>
      </c>
      <c r="J62" s="16" t="s">
        <v>126</v>
      </c>
      <c r="K62" s="16" t="s">
        <v>237</v>
      </c>
      <c r="L62" s="18">
        <v>10</v>
      </c>
      <c r="M62" s="19" t="s">
        <v>238</v>
      </c>
    </row>
    <row r="63" spans="1:13" s="20" customFormat="1" ht="30" x14ac:dyDescent="0.25">
      <c r="A63" s="13">
        <v>60</v>
      </c>
      <c r="B63" s="14">
        <v>60</v>
      </c>
      <c r="C63" s="23" t="s">
        <v>239</v>
      </c>
      <c r="D63" s="16" t="s">
        <v>32</v>
      </c>
      <c r="E63" s="16" t="s">
        <v>145</v>
      </c>
      <c r="F63" s="17">
        <f t="shared" si="0"/>
        <v>37.395111273257939</v>
      </c>
      <c r="G63" s="17">
        <f t="shared" si="1"/>
        <v>26.176577891280555</v>
      </c>
      <c r="H63" s="17">
        <f>123000/10964</f>
        <v>11.21853338197738</v>
      </c>
      <c r="I63" s="17">
        <v>287</v>
      </c>
      <c r="J63" s="16" t="s">
        <v>28</v>
      </c>
      <c r="K63" s="16" t="s">
        <v>240</v>
      </c>
      <c r="L63" s="18">
        <v>5</v>
      </c>
      <c r="M63" s="19" t="s">
        <v>241</v>
      </c>
    </row>
    <row r="64" spans="1:13" s="20" customFormat="1" ht="48.75" customHeight="1" x14ac:dyDescent="0.25">
      <c r="A64" s="13">
        <v>61</v>
      </c>
      <c r="B64" s="14">
        <v>61</v>
      </c>
      <c r="C64" s="23" t="s">
        <v>242</v>
      </c>
      <c r="D64" s="16" t="s">
        <v>26</v>
      </c>
      <c r="E64" s="16" t="s">
        <v>121</v>
      </c>
      <c r="F64" s="17">
        <f t="shared" si="0"/>
        <v>199.12987960598321</v>
      </c>
      <c r="G64" s="17">
        <f t="shared" si="1"/>
        <v>130.94217438890917</v>
      </c>
      <c r="H64" s="17">
        <f>747610/10964</f>
        <v>68.187705217074054</v>
      </c>
      <c r="I64" s="17">
        <v>1435.65</v>
      </c>
      <c r="J64" s="16" t="s">
        <v>28</v>
      </c>
      <c r="K64" s="16" t="s">
        <v>243</v>
      </c>
      <c r="L64" s="18">
        <v>12</v>
      </c>
      <c r="M64" s="19" t="s">
        <v>244</v>
      </c>
    </row>
    <row r="65" spans="1:13" s="20" customFormat="1" x14ac:dyDescent="0.25">
      <c r="A65" s="13">
        <v>62</v>
      </c>
      <c r="B65" s="14">
        <v>62</v>
      </c>
      <c r="C65" s="15" t="s">
        <v>245</v>
      </c>
      <c r="D65" s="16" t="s">
        <v>20</v>
      </c>
      <c r="E65" s="16" t="s">
        <v>21</v>
      </c>
      <c r="F65" s="17">
        <f t="shared" si="0"/>
        <v>153.30171470266328</v>
      </c>
      <c r="G65" s="17">
        <f t="shared" si="1"/>
        <v>105.80080262677855</v>
      </c>
      <c r="H65" s="17">
        <f>520800/10964</f>
        <v>47.500912075884713</v>
      </c>
      <c r="I65" s="17">
        <v>1160</v>
      </c>
      <c r="J65" s="16" t="s">
        <v>28</v>
      </c>
      <c r="K65" s="16" t="s">
        <v>246</v>
      </c>
      <c r="L65" s="18">
        <v>3</v>
      </c>
      <c r="M65" s="19" t="s">
        <v>247</v>
      </c>
    </row>
    <row r="66" spans="1:13" s="20" customFormat="1" ht="30" x14ac:dyDescent="0.25">
      <c r="A66" s="13">
        <v>63</v>
      </c>
      <c r="B66" s="14">
        <v>63</v>
      </c>
      <c r="C66" s="15" t="s">
        <v>248</v>
      </c>
      <c r="D66" s="16" t="s">
        <v>230</v>
      </c>
      <c r="E66" s="16" t="s">
        <v>249</v>
      </c>
      <c r="F66" s="17">
        <f t="shared" si="0"/>
        <v>171.88070047427945</v>
      </c>
      <c r="G66" s="17">
        <f t="shared" si="1"/>
        <v>54.724553082816492</v>
      </c>
      <c r="H66" s="17">
        <f>1284500/10964</f>
        <v>117.15614739146297</v>
      </c>
      <c r="I66" s="17">
        <v>600</v>
      </c>
      <c r="J66" s="16" t="s">
        <v>22</v>
      </c>
      <c r="K66" s="16" t="s">
        <v>250</v>
      </c>
      <c r="L66" s="18">
        <v>4</v>
      </c>
      <c r="M66" s="19" t="s">
        <v>251</v>
      </c>
    </row>
    <row r="67" spans="1:13" s="20" customFormat="1" x14ac:dyDescent="0.25">
      <c r="A67" s="13">
        <v>64</v>
      </c>
      <c r="B67" s="14">
        <v>64</v>
      </c>
      <c r="C67" s="23" t="s">
        <v>252</v>
      </c>
      <c r="D67" s="16" t="s">
        <v>253</v>
      </c>
      <c r="E67" s="16" t="s">
        <v>254</v>
      </c>
      <c r="F67" s="17">
        <f t="shared" si="0"/>
        <v>146.43378329076978</v>
      </c>
      <c r="G67" s="17">
        <f t="shared" si="1"/>
        <v>36.483035388544323</v>
      </c>
      <c r="H67" s="17">
        <f>1205500/10964</f>
        <v>109.95074790222546</v>
      </c>
      <c r="I67" s="17">
        <v>400</v>
      </c>
      <c r="J67" s="16" t="s">
        <v>16</v>
      </c>
      <c r="K67" s="16" t="s">
        <v>255</v>
      </c>
      <c r="L67" s="18">
        <v>4</v>
      </c>
      <c r="M67" s="19" t="s">
        <v>256</v>
      </c>
    </row>
    <row r="68" spans="1:13" s="20" customFormat="1" x14ac:dyDescent="0.25">
      <c r="A68" s="13">
        <v>65</v>
      </c>
      <c r="B68" s="14">
        <v>65</v>
      </c>
      <c r="C68" s="15" t="s">
        <v>257</v>
      </c>
      <c r="D68" s="16" t="s">
        <v>14</v>
      </c>
      <c r="E68" s="16" t="s">
        <v>133</v>
      </c>
      <c r="F68" s="17">
        <f t="shared" ref="F68:F69" si="2">+G68+H68</f>
        <v>166.39000364830355</v>
      </c>
      <c r="G68" s="17">
        <f t="shared" si="1"/>
        <v>116.47209047792776</v>
      </c>
      <c r="H68" s="17">
        <f>547300/10964</f>
        <v>49.917913170375776</v>
      </c>
      <c r="I68" s="17">
        <v>1277</v>
      </c>
      <c r="J68" s="16" t="s">
        <v>16</v>
      </c>
      <c r="K68" s="16" t="s">
        <v>258</v>
      </c>
      <c r="L68" s="18">
        <v>25</v>
      </c>
      <c r="M68" s="19" t="s">
        <v>259</v>
      </c>
    </row>
    <row r="69" spans="1:13" s="20" customFormat="1" ht="45" x14ac:dyDescent="0.25">
      <c r="A69" s="13">
        <v>66</v>
      </c>
      <c r="B69" s="14">
        <v>66</v>
      </c>
      <c r="C69" s="23" t="s">
        <v>260</v>
      </c>
      <c r="D69" s="16" t="s">
        <v>225</v>
      </c>
      <c r="E69" s="16" t="s">
        <v>226</v>
      </c>
      <c r="F69" s="17">
        <f t="shared" si="2"/>
        <v>131.45311017876688</v>
      </c>
      <c r="G69" s="17">
        <f t="shared" si="1"/>
        <v>88.374680773440346</v>
      </c>
      <c r="H69" s="17">
        <f>472311.9/10964</f>
        <v>43.078429405326524</v>
      </c>
      <c r="I69" s="17">
        <v>968.94</v>
      </c>
      <c r="J69" s="16" t="s">
        <v>28</v>
      </c>
      <c r="K69" s="16" t="s">
        <v>261</v>
      </c>
      <c r="L69" s="18">
        <v>9</v>
      </c>
      <c r="M69" s="19" t="s">
        <v>262</v>
      </c>
    </row>
    <row r="70" spans="1:13" s="20" customFormat="1" ht="30" x14ac:dyDescent="0.25">
      <c r="A70" s="13">
        <v>67</v>
      </c>
      <c r="B70" s="14">
        <v>67</v>
      </c>
      <c r="C70" s="23" t="s">
        <v>263</v>
      </c>
      <c r="D70" s="16" t="s">
        <v>69</v>
      </c>
      <c r="E70" s="16" t="s">
        <v>264</v>
      </c>
      <c r="F70" s="17">
        <f t="shared" ref="F70:F107" si="3">G70+H70</f>
        <v>282.54031347136083</v>
      </c>
      <c r="G70" s="17">
        <f t="shared" si="1"/>
        <v>91.207588471360822</v>
      </c>
      <c r="H70" s="17">
        <v>191.33272500000001</v>
      </c>
      <c r="I70" s="17">
        <v>1000</v>
      </c>
      <c r="J70" s="16" t="s">
        <v>16</v>
      </c>
      <c r="K70" s="16" t="s">
        <v>265</v>
      </c>
      <c r="L70" s="18">
        <v>10</v>
      </c>
      <c r="M70" s="19" t="s">
        <v>266</v>
      </c>
    </row>
    <row r="71" spans="1:13" s="20" customFormat="1" x14ac:dyDescent="0.25">
      <c r="A71" s="13">
        <v>68</v>
      </c>
      <c r="B71" s="14">
        <v>68</v>
      </c>
      <c r="C71" s="23" t="s">
        <v>267</v>
      </c>
      <c r="D71" s="16" t="s">
        <v>235</v>
      </c>
      <c r="E71" s="16" t="s">
        <v>268</v>
      </c>
      <c r="F71" s="17">
        <f t="shared" si="3"/>
        <v>938.2068588106531</v>
      </c>
      <c r="G71" s="17">
        <f t="shared" si="1"/>
        <v>332.58847136081721</v>
      </c>
      <c r="H71" s="17">
        <v>605.61838744983595</v>
      </c>
      <c r="I71" s="17">
        <v>3646.5</v>
      </c>
      <c r="J71" s="16" t="s">
        <v>22</v>
      </c>
      <c r="K71" s="16" t="s">
        <v>269</v>
      </c>
      <c r="L71" s="18">
        <v>15</v>
      </c>
      <c r="M71" s="19" t="s">
        <v>270</v>
      </c>
    </row>
    <row r="72" spans="1:13" s="20" customFormat="1" ht="195" x14ac:dyDescent="0.25">
      <c r="A72" s="13">
        <v>69</v>
      </c>
      <c r="B72" s="14">
        <v>69</v>
      </c>
      <c r="C72" s="23" t="s">
        <v>271</v>
      </c>
      <c r="D72" s="16" t="s">
        <v>225</v>
      </c>
      <c r="E72" s="16" t="s">
        <v>272</v>
      </c>
      <c r="F72" s="17">
        <f t="shared" si="3"/>
        <v>659.41032834680414</v>
      </c>
      <c r="G72" s="17">
        <f t="shared" si="1"/>
        <v>456.03794235680408</v>
      </c>
      <c r="H72" s="17">
        <v>203.37238599</v>
      </c>
      <c r="I72" s="17">
        <v>5000</v>
      </c>
      <c r="J72" s="16" t="s">
        <v>22</v>
      </c>
      <c r="K72" s="16" t="s">
        <v>273</v>
      </c>
      <c r="L72" s="18">
        <v>22</v>
      </c>
      <c r="M72" s="19" t="s">
        <v>274</v>
      </c>
    </row>
    <row r="73" spans="1:13" s="20" customFormat="1" ht="30" x14ac:dyDescent="0.25">
      <c r="A73" s="13">
        <v>70</v>
      </c>
      <c r="B73" s="14">
        <v>70</v>
      </c>
      <c r="C73" s="23" t="s">
        <v>275</v>
      </c>
      <c r="D73" s="16" t="s">
        <v>32</v>
      </c>
      <c r="E73" s="16" t="s">
        <v>276</v>
      </c>
      <c r="F73" s="17">
        <f t="shared" si="3"/>
        <v>42.137905873768695</v>
      </c>
      <c r="G73" s="17">
        <f t="shared" si="1"/>
        <v>28.456767603064574</v>
      </c>
      <c r="H73" s="17">
        <f>150000/10964</f>
        <v>13.681138270704123</v>
      </c>
      <c r="I73" s="17">
        <v>312</v>
      </c>
      <c r="J73" s="24" t="s">
        <v>126</v>
      </c>
      <c r="K73" s="16" t="s">
        <v>277</v>
      </c>
      <c r="L73" s="18">
        <v>6</v>
      </c>
      <c r="M73" s="19" t="s">
        <v>278</v>
      </c>
    </row>
    <row r="74" spans="1:13" s="20" customFormat="1" x14ac:dyDescent="0.25">
      <c r="A74" s="13">
        <v>71</v>
      </c>
      <c r="B74" s="14">
        <v>71</v>
      </c>
      <c r="C74" s="23" t="s">
        <v>279</v>
      </c>
      <c r="D74" s="16" t="s">
        <v>225</v>
      </c>
      <c r="E74" s="16" t="s">
        <v>280</v>
      </c>
      <c r="F74" s="17">
        <f t="shared" si="3"/>
        <v>3525.1732944180958</v>
      </c>
      <c r="G74" s="17">
        <f t="shared" si="1"/>
        <v>999.63516964611449</v>
      </c>
      <c r="H74" s="17">
        <f>27690000/10964</f>
        <v>2525.5381247719811</v>
      </c>
      <c r="I74" s="17">
        <v>10960</v>
      </c>
      <c r="J74" s="16" t="s">
        <v>16</v>
      </c>
      <c r="K74" s="16" t="s">
        <v>281</v>
      </c>
      <c r="L74" s="18">
        <v>44</v>
      </c>
      <c r="M74" s="19" t="s">
        <v>282</v>
      </c>
    </row>
    <row r="75" spans="1:13" s="20" customFormat="1" ht="30" x14ac:dyDescent="0.25">
      <c r="A75" s="13">
        <v>72</v>
      </c>
      <c r="B75" s="14">
        <v>72</v>
      </c>
      <c r="C75" s="23" t="s">
        <v>283</v>
      </c>
      <c r="D75" s="16" t="s">
        <v>20</v>
      </c>
      <c r="E75" s="16" t="s">
        <v>284</v>
      </c>
      <c r="F75" s="17">
        <f t="shared" si="3"/>
        <v>345.15742429770097</v>
      </c>
      <c r="G75" s="17">
        <f t="shared" si="1"/>
        <v>109.44910616563298</v>
      </c>
      <c r="H75" s="17">
        <v>235.708318132068</v>
      </c>
      <c r="I75" s="17">
        <v>1200</v>
      </c>
      <c r="J75" s="16" t="s">
        <v>122</v>
      </c>
      <c r="K75" s="16" t="s">
        <v>285</v>
      </c>
      <c r="L75" s="18">
        <v>8</v>
      </c>
      <c r="M75" s="19" t="s">
        <v>286</v>
      </c>
    </row>
    <row r="76" spans="1:13" s="20" customFormat="1" x14ac:dyDescent="0.25">
      <c r="A76" s="13">
        <v>73</v>
      </c>
      <c r="B76" s="14">
        <v>73</v>
      </c>
      <c r="C76" s="23" t="s">
        <v>287</v>
      </c>
      <c r="D76" s="16" t="s">
        <v>14</v>
      </c>
      <c r="E76" s="16" t="s">
        <v>133</v>
      </c>
      <c r="F76" s="17">
        <f t="shared" si="3"/>
        <v>1311.6203028091934</v>
      </c>
      <c r="G76" s="17">
        <f t="shared" si="1"/>
        <v>862.82378693907333</v>
      </c>
      <c r="H76" s="17">
        <v>448.79651587012</v>
      </c>
      <c r="I76" s="17">
        <v>9460</v>
      </c>
      <c r="J76" s="16" t="s">
        <v>16</v>
      </c>
      <c r="K76" s="16" t="s">
        <v>288</v>
      </c>
      <c r="L76" s="18">
        <v>25</v>
      </c>
      <c r="M76" s="18">
        <v>300039947</v>
      </c>
    </row>
    <row r="77" spans="1:13" s="20" customFormat="1" ht="60" x14ac:dyDescent="0.25">
      <c r="A77" s="13">
        <v>74</v>
      </c>
      <c r="B77" s="14">
        <v>74</v>
      </c>
      <c r="C77" s="23" t="s">
        <v>289</v>
      </c>
      <c r="D77" s="16" t="s">
        <v>230</v>
      </c>
      <c r="E77" s="16" t="s">
        <v>249</v>
      </c>
      <c r="F77" s="17">
        <f t="shared" si="3"/>
        <v>1579.575884713608</v>
      </c>
      <c r="G77" s="17">
        <f t="shared" si="1"/>
        <v>684.05691353520615</v>
      </c>
      <c r="H77" s="17">
        <v>895.51897117840201</v>
      </c>
      <c r="I77" s="17">
        <v>7500</v>
      </c>
      <c r="J77" s="16" t="s">
        <v>122</v>
      </c>
      <c r="K77" s="16" t="s">
        <v>290</v>
      </c>
      <c r="L77" s="18">
        <v>195</v>
      </c>
      <c r="M77" s="18">
        <v>203378732</v>
      </c>
    </row>
    <row r="78" spans="1:13" s="20" customFormat="1" x14ac:dyDescent="0.25">
      <c r="A78" s="13">
        <v>75</v>
      </c>
      <c r="B78" s="14">
        <v>75</v>
      </c>
      <c r="C78" s="23" t="s">
        <v>291</v>
      </c>
      <c r="D78" s="16" t="s">
        <v>32</v>
      </c>
      <c r="E78" s="16" t="s">
        <v>292</v>
      </c>
      <c r="F78" s="17">
        <f t="shared" si="3"/>
        <v>36.483035388544231</v>
      </c>
      <c r="G78" s="17">
        <f t="shared" si="1"/>
        <v>25.538124771981032</v>
      </c>
      <c r="H78" s="17">
        <v>10.944910616563201</v>
      </c>
      <c r="I78" s="17">
        <v>280</v>
      </c>
      <c r="J78" s="16" t="s">
        <v>28</v>
      </c>
      <c r="K78" s="16" t="s">
        <v>293</v>
      </c>
      <c r="L78" s="18">
        <v>1</v>
      </c>
      <c r="M78" s="18">
        <v>307827887</v>
      </c>
    </row>
    <row r="79" spans="1:13" s="20" customFormat="1" x14ac:dyDescent="0.25">
      <c r="A79" s="13">
        <v>76</v>
      </c>
      <c r="B79" s="14">
        <v>76</v>
      </c>
      <c r="C79" s="23" t="s">
        <v>294</v>
      </c>
      <c r="D79" s="16" t="s">
        <v>225</v>
      </c>
      <c r="E79" s="16" t="s">
        <v>295</v>
      </c>
      <c r="F79" s="17">
        <f t="shared" si="3"/>
        <v>69.281493980299061</v>
      </c>
      <c r="G79" s="17">
        <f t="shared" si="1"/>
        <v>40.587376869755559</v>
      </c>
      <c r="H79" s="17">
        <v>28.694117110543498</v>
      </c>
      <c r="I79" s="17">
        <v>445</v>
      </c>
      <c r="J79" s="16" t="s">
        <v>28</v>
      </c>
      <c r="K79" s="16" t="s">
        <v>296</v>
      </c>
      <c r="L79" s="18">
        <v>1</v>
      </c>
      <c r="M79" s="18">
        <v>303257817</v>
      </c>
    </row>
    <row r="80" spans="1:13" s="20" customFormat="1" x14ac:dyDescent="0.25">
      <c r="A80" s="13">
        <v>77</v>
      </c>
      <c r="B80" s="14">
        <v>77</v>
      </c>
      <c r="C80" s="23" t="s">
        <v>297</v>
      </c>
      <c r="D80" s="16" t="s">
        <v>225</v>
      </c>
      <c r="E80" s="16" t="s">
        <v>298</v>
      </c>
      <c r="F80" s="17">
        <f t="shared" si="3"/>
        <v>54.268515140459684</v>
      </c>
      <c r="G80" s="17">
        <f t="shared" si="1"/>
        <v>37.987960598321784</v>
      </c>
      <c r="H80" s="17">
        <v>16.280554542137899</v>
      </c>
      <c r="I80" s="17">
        <v>416.5</v>
      </c>
      <c r="J80" s="16" t="s">
        <v>28</v>
      </c>
      <c r="K80" s="16" t="s">
        <v>299</v>
      </c>
      <c r="L80" s="18">
        <v>5</v>
      </c>
      <c r="M80" s="18">
        <v>205103297</v>
      </c>
    </row>
    <row r="81" spans="1:13" s="20" customFormat="1" ht="30" x14ac:dyDescent="0.25">
      <c r="A81" s="13">
        <v>78</v>
      </c>
      <c r="B81" s="14">
        <v>78</v>
      </c>
      <c r="C81" s="23" t="s">
        <v>300</v>
      </c>
      <c r="D81" s="16" t="s">
        <v>230</v>
      </c>
      <c r="E81" s="16" t="s">
        <v>231</v>
      </c>
      <c r="F81" s="17">
        <f t="shared" si="3"/>
        <v>446.10013407515447</v>
      </c>
      <c r="G81" s="17">
        <f t="shared" si="1"/>
        <v>164.1736592484495</v>
      </c>
      <c r="H81" s="17">
        <v>281.92647482670498</v>
      </c>
      <c r="I81" s="17">
        <v>1800</v>
      </c>
      <c r="J81" s="25" t="s">
        <v>126</v>
      </c>
      <c r="K81" s="16" t="s">
        <v>301</v>
      </c>
      <c r="L81" s="18">
        <v>10</v>
      </c>
      <c r="M81" s="18">
        <v>309407901</v>
      </c>
    </row>
    <row r="82" spans="1:13" s="20" customFormat="1" x14ac:dyDescent="0.25">
      <c r="A82" s="13">
        <v>79</v>
      </c>
      <c r="B82" s="14">
        <v>79</v>
      </c>
      <c r="C82" s="23" t="s">
        <v>302</v>
      </c>
      <c r="D82" s="16" t="s">
        <v>14</v>
      </c>
      <c r="E82" s="16" t="s">
        <v>303</v>
      </c>
      <c r="F82" s="17">
        <f t="shared" si="3"/>
        <v>191.14337832907688</v>
      </c>
      <c r="G82" s="17">
        <f t="shared" si="1"/>
        <v>130.60926669098868</v>
      </c>
      <c r="H82" s="17">
        <v>60.534111638088199</v>
      </c>
      <c r="I82" s="17">
        <v>1432</v>
      </c>
      <c r="J82" s="16" t="s">
        <v>22</v>
      </c>
      <c r="K82" s="16" t="s">
        <v>304</v>
      </c>
      <c r="L82" s="18">
        <v>6</v>
      </c>
      <c r="M82" s="18">
        <v>202715993</v>
      </c>
    </row>
    <row r="83" spans="1:13" s="20" customFormat="1" x14ac:dyDescent="0.25">
      <c r="A83" s="13">
        <v>80</v>
      </c>
      <c r="B83" s="14">
        <v>80</v>
      </c>
      <c r="C83" s="23" t="s">
        <v>305</v>
      </c>
      <c r="D83" s="16" t="s">
        <v>14</v>
      </c>
      <c r="E83" s="16" t="s">
        <v>306</v>
      </c>
      <c r="F83" s="17">
        <f t="shared" si="3"/>
        <v>304.08755928493179</v>
      </c>
      <c r="G83" s="17">
        <f t="shared" si="1"/>
        <v>91.207588471360822</v>
      </c>
      <c r="H83" s="17">
        <v>212.87997081357099</v>
      </c>
      <c r="I83" s="17">
        <v>1000</v>
      </c>
      <c r="J83" s="16" t="s">
        <v>28</v>
      </c>
      <c r="K83" s="16" t="s">
        <v>307</v>
      </c>
      <c r="L83" s="18">
        <v>4</v>
      </c>
      <c r="M83" s="18">
        <v>200890265</v>
      </c>
    </row>
    <row r="84" spans="1:13" s="20" customFormat="1" ht="30" x14ac:dyDescent="0.25">
      <c r="A84" s="13">
        <v>81</v>
      </c>
      <c r="B84" s="14">
        <v>81</v>
      </c>
      <c r="C84" s="26" t="s">
        <v>308</v>
      </c>
      <c r="D84" s="16" t="s">
        <v>253</v>
      </c>
      <c r="E84" s="16" t="s">
        <v>309</v>
      </c>
      <c r="F84" s="17">
        <f t="shared" si="3"/>
        <v>358.8966428936269</v>
      </c>
      <c r="G84" s="17">
        <f>(1639.9568/10.964)+(120.0432/13.54026)</f>
        <v>158.44215447699091</v>
      </c>
      <c r="H84" s="17">
        <v>200.454488416636</v>
      </c>
      <c r="I84" s="17">
        <v>1639.9567999999999</v>
      </c>
      <c r="J84" s="16" t="s">
        <v>126</v>
      </c>
      <c r="K84" s="16" t="s">
        <v>310</v>
      </c>
      <c r="L84" s="18">
        <v>12</v>
      </c>
      <c r="M84" s="28">
        <v>311674169</v>
      </c>
    </row>
    <row r="85" spans="1:13" s="20" customFormat="1" ht="30" customHeight="1" x14ac:dyDescent="0.25">
      <c r="A85" s="13">
        <v>82</v>
      </c>
      <c r="B85" s="14">
        <v>82</v>
      </c>
      <c r="C85" s="23" t="s">
        <v>311</v>
      </c>
      <c r="D85" s="16" t="s">
        <v>225</v>
      </c>
      <c r="E85" s="29" t="s">
        <v>312</v>
      </c>
      <c r="F85" s="17">
        <f t="shared" si="3"/>
        <v>54.917704682184834</v>
      </c>
      <c r="G85" s="17">
        <f t="shared" ref="G85:G101" si="4">+I85/13540.26*1000</f>
        <v>26.587377199551558</v>
      </c>
      <c r="H85" s="30">
        <f>383.6/13.54026</f>
        <v>28.330327482633276</v>
      </c>
      <c r="I85" s="17">
        <v>360</v>
      </c>
      <c r="J85" s="16" t="s">
        <v>28</v>
      </c>
      <c r="K85" s="16" t="s">
        <v>313</v>
      </c>
      <c r="L85" s="31">
        <v>6</v>
      </c>
      <c r="M85" s="31">
        <v>301910322</v>
      </c>
    </row>
    <row r="86" spans="1:13" s="20" customFormat="1" ht="30" customHeight="1" x14ac:dyDescent="0.25">
      <c r="A86" s="13">
        <v>83</v>
      </c>
      <c r="B86" s="14">
        <v>83</v>
      </c>
      <c r="C86" s="23" t="s">
        <v>314</v>
      </c>
      <c r="D86" s="29" t="s">
        <v>230</v>
      </c>
      <c r="E86" s="29" t="s">
        <v>231</v>
      </c>
      <c r="F86" s="30">
        <f t="shared" si="3"/>
        <v>260.48184451406399</v>
      </c>
      <c r="G86" s="17">
        <f t="shared" si="4"/>
        <v>88.624590665171866</v>
      </c>
      <c r="H86" s="30">
        <f>2326.9919/13.54026</f>
        <v>171.85725384889213</v>
      </c>
      <c r="I86" s="17">
        <v>1200</v>
      </c>
      <c r="J86" s="25" t="s">
        <v>126</v>
      </c>
      <c r="K86" s="29" t="s">
        <v>315</v>
      </c>
      <c r="L86" s="31">
        <v>14</v>
      </c>
      <c r="M86" s="31">
        <v>309407901</v>
      </c>
    </row>
    <row r="87" spans="1:13" s="20" customFormat="1" ht="30" customHeight="1" x14ac:dyDescent="0.25">
      <c r="A87" s="13">
        <v>84</v>
      </c>
      <c r="B87" s="14">
        <v>84</v>
      </c>
      <c r="C87" s="23" t="s">
        <v>316</v>
      </c>
      <c r="D87" s="29" t="s">
        <v>225</v>
      </c>
      <c r="E87" s="29" t="s">
        <v>226</v>
      </c>
      <c r="F87" s="30">
        <f t="shared" si="3"/>
        <v>300.55330547567036</v>
      </c>
      <c r="G87" s="17">
        <f t="shared" si="4"/>
        <v>98.077880336123528</v>
      </c>
      <c r="H87" s="30">
        <f>(2741569900/13540.26)/1000</f>
        <v>202.47542513954681</v>
      </c>
      <c r="I87" s="17">
        <v>1328</v>
      </c>
      <c r="J87" s="25" t="s">
        <v>28</v>
      </c>
      <c r="K87" s="16" t="s">
        <v>317</v>
      </c>
      <c r="L87" s="31">
        <v>6</v>
      </c>
      <c r="M87" s="31">
        <v>311738277</v>
      </c>
    </row>
    <row r="88" spans="1:13" s="20" customFormat="1" ht="30" customHeight="1" x14ac:dyDescent="0.25">
      <c r="A88" s="13">
        <v>85</v>
      </c>
      <c r="B88" s="14">
        <v>85</v>
      </c>
      <c r="C88" s="23" t="s">
        <v>318</v>
      </c>
      <c r="D88" s="29" t="s">
        <v>225</v>
      </c>
      <c r="E88" s="29" t="s">
        <v>226</v>
      </c>
      <c r="F88" s="30">
        <f t="shared" si="3"/>
        <v>201.65759003150603</v>
      </c>
      <c r="G88" s="17">
        <f t="shared" si="4"/>
        <v>97.8563188594606</v>
      </c>
      <c r="H88" s="30">
        <f>(1405496200/13540.26)/1000</f>
        <v>103.80127117204543</v>
      </c>
      <c r="I88" s="17">
        <v>1325</v>
      </c>
      <c r="J88" s="25" t="s">
        <v>28</v>
      </c>
      <c r="K88" s="16" t="s">
        <v>317</v>
      </c>
      <c r="L88" s="31">
        <v>6</v>
      </c>
      <c r="M88" s="31">
        <v>303257817</v>
      </c>
    </row>
    <row r="89" spans="1:13" s="20" customFormat="1" ht="30" customHeight="1" x14ac:dyDescent="0.25">
      <c r="A89" s="13">
        <v>86</v>
      </c>
      <c r="B89" s="14">
        <v>86</v>
      </c>
      <c r="C89" s="23" t="s">
        <v>319</v>
      </c>
      <c r="D89" s="29" t="s">
        <v>225</v>
      </c>
      <c r="E89" s="29" t="s">
        <v>226</v>
      </c>
      <c r="F89" s="30">
        <f t="shared" si="3"/>
        <v>137.51475873057964</v>
      </c>
      <c r="G89" s="17">
        <f t="shared" si="4"/>
        <v>95.123727313951136</v>
      </c>
      <c r="H89" s="30">
        <f>574/13.5406</f>
        <v>42.391031416628515</v>
      </c>
      <c r="I89" s="17">
        <v>1288</v>
      </c>
      <c r="J89" s="25" t="s">
        <v>28</v>
      </c>
      <c r="K89" s="16" t="s">
        <v>320</v>
      </c>
      <c r="L89" s="31">
        <v>6</v>
      </c>
      <c r="M89" s="31">
        <v>308061077</v>
      </c>
    </row>
    <row r="90" spans="1:13" s="20" customFormat="1" ht="30" x14ac:dyDescent="0.25">
      <c r="A90" s="13">
        <v>87</v>
      </c>
      <c r="B90" s="14">
        <v>87</v>
      </c>
      <c r="C90" s="23" t="s">
        <v>321</v>
      </c>
      <c r="D90" s="29" t="s">
        <v>225</v>
      </c>
      <c r="E90" s="29" t="s">
        <v>226</v>
      </c>
      <c r="F90" s="30">
        <f t="shared" si="3"/>
        <v>140.32226855318879</v>
      </c>
      <c r="G90" s="17">
        <f t="shared" si="4"/>
        <v>98.225587987232146</v>
      </c>
      <c r="H90" s="30">
        <f>570/13.54026</f>
        <v>42.096680565956639</v>
      </c>
      <c r="I90" s="17">
        <v>1330</v>
      </c>
      <c r="J90" s="25" t="s">
        <v>28</v>
      </c>
      <c r="K90" s="16" t="s">
        <v>322</v>
      </c>
      <c r="L90" s="31">
        <v>6</v>
      </c>
      <c r="M90" s="31">
        <v>308456921</v>
      </c>
    </row>
    <row r="91" spans="1:13" s="20" customFormat="1" x14ac:dyDescent="0.25">
      <c r="A91" s="13">
        <v>88</v>
      </c>
      <c r="B91" s="14">
        <v>88</v>
      </c>
      <c r="C91" s="23" t="s">
        <v>323</v>
      </c>
      <c r="D91" s="29" t="s">
        <v>324</v>
      </c>
      <c r="E91" s="29" t="s">
        <v>325</v>
      </c>
      <c r="F91" s="30">
        <f t="shared" si="3"/>
        <v>68.354365013993004</v>
      </c>
      <c r="G91" s="17">
        <f t="shared" si="4"/>
        <v>35.819105393840296</v>
      </c>
      <c r="H91" s="30">
        <f>435/13.37011</f>
        <v>32.535259620152715</v>
      </c>
      <c r="I91" s="17">
        <v>485</v>
      </c>
      <c r="J91" s="25" t="s">
        <v>28</v>
      </c>
      <c r="K91" s="16" t="s">
        <v>326</v>
      </c>
      <c r="L91" s="31">
        <v>6</v>
      </c>
      <c r="M91" s="31">
        <v>302582271</v>
      </c>
    </row>
    <row r="92" spans="1:13" s="20" customFormat="1" ht="30" x14ac:dyDescent="0.25">
      <c r="A92" s="13">
        <v>89</v>
      </c>
      <c r="B92" s="14">
        <v>89</v>
      </c>
      <c r="C92" s="23" t="s">
        <v>327</v>
      </c>
      <c r="D92" s="25" t="s">
        <v>26</v>
      </c>
      <c r="E92" s="25" t="s">
        <v>121</v>
      </c>
      <c r="F92" s="30">
        <f t="shared" si="3"/>
        <v>126.33165094318721</v>
      </c>
      <c r="G92" s="17">
        <f t="shared" si="4"/>
        <v>31.669229394413399</v>
      </c>
      <c r="H92" s="30">
        <f>1281.7538/13.54026</f>
        <v>94.662421548773807</v>
      </c>
      <c r="I92" s="17">
        <v>428.80959999999999</v>
      </c>
      <c r="J92" s="25" t="s">
        <v>28</v>
      </c>
      <c r="K92" s="16" t="s">
        <v>328</v>
      </c>
      <c r="L92" s="31">
        <v>9</v>
      </c>
      <c r="M92" s="31">
        <v>303342711</v>
      </c>
    </row>
    <row r="93" spans="1:13" s="20" customFormat="1" x14ac:dyDescent="0.25">
      <c r="A93" s="13">
        <v>90</v>
      </c>
      <c r="B93" s="14">
        <v>90</v>
      </c>
      <c r="C93" s="23" t="s">
        <v>329</v>
      </c>
      <c r="D93" s="29" t="s">
        <v>235</v>
      </c>
      <c r="E93" s="29" t="s">
        <v>181</v>
      </c>
      <c r="F93" s="30">
        <f t="shared" si="3"/>
        <v>142.2417309564218</v>
      </c>
      <c r="G93" s="17">
        <f t="shared" si="4"/>
        <v>66.37243302565831</v>
      </c>
      <c r="H93" s="30">
        <f>1027.29002/13.54026</f>
        <v>75.869297930763508</v>
      </c>
      <c r="I93" s="17">
        <v>898.7</v>
      </c>
      <c r="J93" s="25" t="s">
        <v>28</v>
      </c>
      <c r="K93" s="16" t="s">
        <v>330</v>
      </c>
      <c r="L93" s="31">
        <v>10</v>
      </c>
      <c r="M93" s="31">
        <v>203770530</v>
      </c>
    </row>
    <row r="94" spans="1:13" s="20" customFormat="1" x14ac:dyDescent="0.25">
      <c r="A94" s="13">
        <v>91</v>
      </c>
      <c r="B94" s="14">
        <v>91</v>
      </c>
      <c r="C94" s="23" t="s">
        <v>331</v>
      </c>
      <c r="D94" s="29" t="s">
        <v>324</v>
      </c>
      <c r="E94" s="29" t="s">
        <v>332</v>
      </c>
      <c r="F94" s="30">
        <f t="shared" si="3"/>
        <v>184.85308147701741</v>
      </c>
      <c r="G94" s="17">
        <f t="shared" si="4"/>
        <v>55.390369165732416</v>
      </c>
      <c r="H94" s="30">
        <f>1752.958785/13.54026</f>
        <v>129.462712311285</v>
      </c>
      <c r="I94" s="17">
        <v>750</v>
      </c>
      <c r="J94" s="16" t="s">
        <v>22</v>
      </c>
      <c r="K94" s="16" t="s">
        <v>333</v>
      </c>
      <c r="L94" s="31">
        <v>13</v>
      </c>
      <c r="M94" s="31">
        <v>303020123</v>
      </c>
    </row>
    <row r="95" spans="1:13" s="20" customFormat="1" x14ac:dyDescent="0.25">
      <c r="A95" s="13">
        <v>92</v>
      </c>
      <c r="B95" s="14">
        <v>92</v>
      </c>
      <c r="C95" s="23" t="s">
        <v>334</v>
      </c>
      <c r="D95" s="29" t="s">
        <v>14</v>
      </c>
      <c r="E95" s="29" t="s">
        <v>15</v>
      </c>
      <c r="F95" s="30">
        <f t="shared" si="3"/>
        <v>105.52234595199798</v>
      </c>
      <c r="G95" s="17">
        <f t="shared" si="4"/>
        <v>73.853825554309893</v>
      </c>
      <c r="H95" s="30">
        <f>428.8/13.54026</f>
        <v>31.668520397688081</v>
      </c>
      <c r="I95" s="17">
        <v>1000</v>
      </c>
      <c r="J95" s="25" t="s">
        <v>16</v>
      </c>
      <c r="K95" s="16" t="s">
        <v>335</v>
      </c>
      <c r="L95" s="31">
        <v>7</v>
      </c>
      <c r="M95" s="31">
        <v>301355253</v>
      </c>
    </row>
    <row r="96" spans="1:13" s="20" customFormat="1" x14ac:dyDescent="0.25">
      <c r="A96" s="13">
        <v>93</v>
      </c>
      <c r="B96" s="14">
        <v>93</v>
      </c>
      <c r="C96" s="23" t="s">
        <v>336</v>
      </c>
      <c r="D96" s="29" t="s">
        <v>14</v>
      </c>
      <c r="E96" s="29" t="s">
        <v>303</v>
      </c>
      <c r="F96" s="30">
        <f t="shared" si="3"/>
        <v>145.49203634199046</v>
      </c>
      <c r="G96" s="17">
        <f t="shared" si="4"/>
        <v>81.239208109740872</v>
      </c>
      <c r="H96" s="30">
        <f>870/13.54026</f>
        <v>64.252828232249598</v>
      </c>
      <c r="I96" s="17">
        <v>1100</v>
      </c>
      <c r="J96" s="25" t="s">
        <v>28</v>
      </c>
      <c r="K96" s="16" t="s">
        <v>337</v>
      </c>
      <c r="L96" s="31">
        <v>4</v>
      </c>
      <c r="M96" s="31">
        <v>200869123</v>
      </c>
    </row>
    <row r="97" spans="1:13" s="20" customFormat="1" x14ac:dyDescent="0.25">
      <c r="A97" s="13">
        <v>94</v>
      </c>
      <c r="B97" s="14">
        <v>94</v>
      </c>
      <c r="C97" s="23" t="s">
        <v>338</v>
      </c>
      <c r="D97" s="29" t="s">
        <v>225</v>
      </c>
      <c r="E97" s="29" t="s">
        <v>339</v>
      </c>
      <c r="F97" s="30">
        <f t="shared" si="3"/>
        <v>82.642430795272759</v>
      </c>
      <c r="G97" s="17">
        <f t="shared" si="4"/>
        <v>45.493956541454892</v>
      </c>
      <c r="H97" s="30">
        <f>503/13.54026</f>
        <v>37.148474253817874</v>
      </c>
      <c r="I97" s="17">
        <v>616</v>
      </c>
      <c r="J97" s="25" t="s">
        <v>28</v>
      </c>
      <c r="K97" s="16" t="s">
        <v>340</v>
      </c>
      <c r="L97" s="31">
        <v>6</v>
      </c>
      <c r="M97" s="31">
        <v>303557214</v>
      </c>
    </row>
    <row r="98" spans="1:13" s="20" customFormat="1" x14ac:dyDescent="0.25">
      <c r="A98" s="13">
        <v>95</v>
      </c>
      <c r="B98" s="14">
        <v>95</v>
      </c>
      <c r="C98" s="23" t="s">
        <v>341</v>
      </c>
      <c r="D98" s="29" t="s">
        <v>225</v>
      </c>
      <c r="E98" s="29" t="s">
        <v>280</v>
      </c>
      <c r="F98" s="30">
        <f t="shared" si="3"/>
        <v>74.961632937624529</v>
      </c>
      <c r="G98" s="17">
        <f t="shared" si="4"/>
        <v>36.188374521611848</v>
      </c>
      <c r="H98" s="30">
        <f>525/13.54026</f>
        <v>38.773258416012688</v>
      </c>
      <c r="I98" s="17">
        <v>490</v>
      </c>
      <c r="J98" s="25" t="s">
        <v>28</v>
      </c>
      <c r="K98" s="16" t="s">
        <v>342</v>
      </c>
      <c r="L98" s="31">
        <v>7</v>
      </c>
      <c r="M98" s="31">
        <v>202140555</v>
      </c>
    </row>
    <row r="99" spans="1:13" s="20" customFormat="1" x14ac:dyDescent="0.25">
      <c r="A99" s="13">
        <v>96</v>
      </c>
      <c r="B99" s="14">
        <v>96</v>
      </c>
      <c r="C99" s="23" t="s">
        <v>343</v>
      </c>
      <c r="D99" s="29" t="s">
        <v>235</v>
      </c>
      <c r="E99" s="29" t="s">
        <v>344</v>
      </c>
      <c r="F99" s="30">
        <f t="shared" si="3"/>
        <v>128.82064303048833</v>
      </c>
      <c r="G99" s="17">
        <f t="shared" si="4"/>
        <v>90.101667176258061</v>
      </c>
      <c r="H99" s="30">
        <f>524.265/13.54026</f>
        <v>38.718975854230273</v>
      </c>
      <c r="I99" s="17">
        <v>1220</v>
      </c>
      <c r="J99" s="25" t="s">
        <v>28</v>
      </c>
      <c r="K99" s="16" t="s">
        <v>345</v>
      </c>
      <c r="L99" s="31">
        <v>8</v>
      </c>
      <c r="M99" s="31">
        <v>303640261</v>
      </c>
    </row>
    <row r="100" spans="1:13" s="20" customFormat="1" x14ac:dyDescent="0.25">
      <c r="A100" s="13">
        <v>97</v>
      </c>
      <c r="B100" s="14">
        <v>97</v>
      </c>
      <c r="C100" s="23" t="s">
        <v>346</v>
      </c>
      <c r="D100" s="29" t="s">
        <v>14</v>
      </c>
      <c r="E100" s="29" t="s">
        <v>133</v>
      </c>
      <c r="F100" s="30">
        <f t="shared" si="3"/>
        <v>195.34706128242738</v>
      </c>
      <c r="G100" s="17">
        <f t="shared" si="4"/>
        <v>60.176097061651696</v>
      </c>
      <c r="H100" s="17">
        <f>1830.25/13540.26*1000</f>
        <v>135.17096422077569</v>
      </c>
      <c r="I100" s="17">
        <v>814.8</v>
      </c>
      <c r="J100" s="25" t="s">
        <v>28</v>
      </c>
      <c r="K100" s="16" t="s">
        <v>347</v>
      </c>
      <c r="L100" s="31">
        <v>6</v>
      </c>
      <c r="M100" s="31">
        <v>300157610</v>
      </c>
    </row>
    <row r="101" spans="1:13" s="20" customFormat="1" x14ac:dyDescent="0.25">
      <c r="A101" s="13">
        <v>98</v>
      </c>
      <c r="B101" s="14">
        <v>98</v>
      </c>
      <c r="C101" s="23" t="s">
        <v>348</v>
      </c>
      <c r="D101" s="25" t="s">
        <v>26</v>
      </c>
      <c r="E101" s="25" t="s">
        <v>121</v>
      </c>
      <c r="F101" s="30">
        <f t="shared" si="3"/>
        <v>114.10416048140877</v>
      </c>
      <c r="G101" s="17">
        <f t="shared" si="4"/>
        <v>79.762131598654676</v>
      </c>
      <c r="H101" s="17">
        <f>465/13540.26*1000</f>
        <v>34.342028882754093</v>
      </c>
      <c r="I101" s="17">
        <v>1080</v>
      </c>
      <c r="J101" s="25" t="s">
        <v>126</v>
      </c>
      <c r="K101" s="16" t="s">
        <v>349</v>
      </c>
      <c r="L101" s="31">
        <v>7</v>
      </c>
      <c r="M101" s="31">
        <v>309944986</v>
      </c>
    </row>
    <row r="102" spans="1:13" s="20" customFormat="1" x14ac:dyDescent="0.25">
      <c r="A102" s="13">
        <v>99</v>
      </c>
      <c r="B102" s="14">
        <v>99</v>
      </c>
      <c r="C102" s="23" t="s">
        <v>350</v>
      </c>
      <c r="D102" s="25" t="s">
        <v>324</v>
      </c>
      <c r="E102" s="25" t="s">
        <v>351</v>
      </c>
      <c r="F102" s="30">
        <f t="shared" si="3"/>
        <v>59.083606438125756</v>
      </c>
      <c r="G102" s="17">
        <f>I102/13.54026</f>
        <v>30.649337605038603</v>
      </c>
      <c r="H102" s="17">
        <f>385/13.54</f>
        <v>28.434268833087152</v>
      </c>
      <c r="I102" s="17">
        <v>415</v>
      </c>
      <c r="J102" s="25" t="s">
        <v>28</v>
      </c>
      <c r="K102" s="16" t="s">
        <v>352</v>
      </c>
      <c r="L102" s="31">
        <v>6</v>
      </c>
      <c r="M102" s="31">
        <v>201067639</v>
      </c>
    </row>
    <row r="103" spans="1:13" s="20" customFormat="1" x14ac:dyDescent="0.25">
      <c r="A103" s="13">
        <v>100</v>
      </c>
      <c r="B103" s="14">
        <v>100</v>
      </c>
      <c r="C103" s="23" t="s">
        <v>353</v>
      </c>
      <c r="D103" s="25" t="s">
        <v>324</v>
      </c>
      <c r="E103" s="25" t="s">
        <v>351</v>
      </c>
      <c r="F103" s="30">
        <f t="shared" si="3"/>
        <v>55.390369165732416</v>
      </c>
      <c r="G103" s="17">
        <f>I103/13.54026</f>
        <v>38.403989288241142</v>
      </c>
      <c r="H103" s="17">
        <f>230/13.54026</f>
        <v>16.986379877491274</v>
      </c>
      <c r="I103" s="17">
        <v>520</v>
      </c>
      <c r="J103" s="25" t="s">
        <v>126</v>
      </c>
      <c r="K103" s="16" t="s">
        <v>354</v>
      </c>
      <c r="L103" s="31">
        <v>5</v>
      </c>
      <c r="M103" s="31">
        <v>301893108</v>
      </c>
    </row>
    <row r="104" spans="1:13" s="20" customFormat="1" ht="30" x14ac:dyDescent="0.25">
      <c r="A104" s="13">
        <v>101</v>
      </c>
      <c r="B104" s="14">
        <v>101</v>
      </c>
      <c r="C104" s="23" t="s">
        <v>355</v>
      </c>
      <c r="D104" s="25" t="s">
        <v>230</v>
      </c>
      <c r="E104" s="25" t="s">
        <v>231</v>
      </c>
      <c r="F104" s="30">
        <f t="shared" si="3"/>
        <v>1087.9594631122297</v>
      </c>
      <c r="G104" s="17">
        <f>I104/13.54026</f>
        <v>738.5382555430989</v>
      </c>
      <c r="H104" s="17">
        <f>4731.254/13.54026</f>
        <v>349.42120756913084</v>
      </c>
      <c r="I104" s="17">
        <v>10000</v>
      </c>
      <c r="J104" s="25" t="s">
        <v>126</v>
      </c>
      <c r="K104" s="16" t="s">
        <v>356</v>
      </c>
      <c r="L104" s="31">
        <v>21</v>
      </c>
      <c r="M104" s="31">
        <v>304739089</v>
      </c>
    </row>
    <row r="105" spans="1:13" s="20" customFormat="1" x14ac:dyDescent="0.25">
      <c r="A105" s="13">
        <v>102</v>
      </c>
      <c r="B105" s="14">
        <v>102</v>
      </c>
      <c r="C105" s="23" t="s">
        <v>357</v>
      </c>
      <c r="D105" s="25" t="s">
        <v>14</v>
      </c>
      <c r="E105" s="25" t="s">
        <v>358</v>
      </c>
      <c r="F105" s="30">
        <f t="shared" si="3"/>
        <v>41.902001881795471</v>
      </c>
      <c r="G105" s="17">
        <f>I105/13.54026</f>
        <v>26.218108071780009</v>
      </c>
      <c r="H105" s="17">
        <f>212.364/13.54026</f>
        <v>15.683893810015466</v>
      </c>
      <c r="I105" s="17">
        <v>355</v>
      </c>
      <c r="J105" s="25" t="s">
        <v>28</v>
      </c>
      <c r="K105" s="16" t="s">
        <v>359</v>
      </c>
      <c r="L105" s="31">
        <v>3</v>
      </c>
      <c r="M105" s="31">
        <v>201033499</v>
      </c>
    </row>
    <row r="106" spans="1:13" s="20" customFormat="1" ht="30" x14ac:dyDescent="0.25">
      <c r="A106" s="13">
        <v>103</v>
      </c>
      <c r="B106" s="14">
        <v>103</v>
      </c>
      <c r="C106" s="23" t="s">
        <v>360</v>
      </c>
      <c r="D106" s="25" t="s">
        <v>225</v>
      </c>
      <c r="E106" s="25" t="s">
        <v>339</v>
      </c>
      <c r="F106" s="30">
        <f t="shared" si="3"/>
        <v>123.29214874751298</v>
      </c>
      <c r="G106" s="17">
        <f>I106/13.54026</f>
        <v>85.818145294108092</v>
      </c>
      <c r="H106" s="17">
        <f>507.40775/13.54026</f>
        <v>37.474003453404883</v>
      </c>
      <c r="I106" s="17">
        <v>1162</v>
      </c>
      <c r="J106" s="25" t="s">
        <v>28</v>
      </c>
      <c r="K106" s="16" t="s">
        <v>361</v>
      </c>
      <c r="L106" s="31">
        <v>3</v>
      </c>
      <c r="M106" s="31">
        <v>303234347</v>
      </c>
    </row>
    <row r="107" spans="1:13" s="20" customFormat="1" ht="30" x14ac:dyDescent="0.25">
      <c r="A107" s="13">
        <v>104</v>
      </c>
      <c r="B107" s="14">
        <v>104</v>
      </c>
      <c r="C107" s="23" t="s">
        <v>1372</v>
      </c>
      <c r="D107" s="25" t="s">
        <v>235</v>
      </c>
      <c r="E107" s="25" t="s">
        <v>547</v>
      </c>
      <c r="F107" s="30">
        <f t="shared" si="3"/>
        <v>141.43007593650344</v>
      </c>
      <c r="G107" s="17">
        <f t="shared" ref="G107" si="5">I107/13.54026</f>
        <v>98.594857115003705</v>
      </c>
      <c r="H107" s="17">
        <f>580/13.54026</f>
        <v>42.835218821499737</v>
      </c>
      <c r="I107" s="17">
        <v>1335</v>
      </c>
      <c r="J107" s="25" t="s">
        <v>28</v>
      </c>
      <c r="K107" s="16" t="s">
        <v>1373</v>
      </c>
      <c r="L107" s="31">
        <v>8</v>
      </c>
      <c r="M107" s="31">
        <v>301302191</v>
      </c>
    </row>
    <row r="108" spans="1:13" s="20" customFormat="1" x14ac:dyDescent="0.25">
      <c r="A108" s="13"/>
      <c r="B108" s="14"/>
      <c r="C108" s="32" t="s">
        <v>362</v>
      </c>
      <c r="D108" s="16"/>
      <c r="E108" s="16"/>
      <c r="F108" s="33">
        <f>SUM(F4:F107)</f>
        <v>35140.975282644729</v>
      </c>
      <c r="G108" s="33">
        <f>SUM(G4:G107)</f>
        <v>17187.650222373875</v>
      </c>
      <c r="H108" s="33">
        <f>SUM(H4:H107)</f>
        <v>17953.325060270865</v>
      </c>
      <c r="I108" s="33">
        <f>SUM(I4:I107)</f>
        <v>193961.30960000001</v>
      </c>
      <c r="J108" s="33"/>
      <c r="K108" s="33"/>
      <c r="L108" s="34">
        <f>SUM(L4:L107)</f>
        <v>1068</v>
      </c>
      <c r="M108" s="33"/>
    </row>
    <row r="109" spans="1:13" x14ac:dyDescent="0.25">
      <c r="A109" s="35"/>
      <c r="B109" s="36"/>
      <c r="C109" s="37" t="s">
        <v>363</v>
      </c>
      <c r="D109" s="25"/>
      <c r="E109" s="25"/>
      <c r="F109" s="38"/>
      <c r="G109" s="39">
        <f>+G3-G108</f>
        <v>22812.349777626125</v>
      </c>
      <c r="H109" s="38"/>
      <c r="I109" s="39">
        <f>+I3-I108</f>
        <v>331199.99040000001</v>
      </c>
      <c r="J109" s="40"/>
      <c r="K109" s="41"/>
      <c r="L109" s="42"/>
      <c r="M109" s="43"/>
    </row>
    <row r="110" spans="1:13" x14ac:dyDescent="0.25">
      <c r="A110" s="45"/>
      <c r="B110" s="46"/>
      <c r="C110" s="47" t="s">
        <v>364</v>
      </c>
      <c r="D110" s="48"/>
      <c r="E110" s="48"/>
      <c r="F110" s="49"/>
      <c r="G110" s="50">
        <f>11000+7600+8400</f>
        <v>27000</v>
      </c>
      <c r="H110" s="49"/>
      <c r="I110" s="50">
        <f>120604+101612.836+123060</f>
        <v>345276.83600000001</v>
      </c>
      <c r="J110" s="51"/>
      <c r="K110" s="48"/>
      <c r="L110" s="52"/>
      <c r="M110" s="53"/>
    </row>
    <row r="111" spans="1:13" x14ac:dyDescent="0.25">
      <c r="A111" s="35">
        <v>105</v>
      </c>
      <c r="B111" s="36">
        <v>1</v>
      </c>
      <c r="C111" s="54" t="s">
        <v>365</v>
      </c>
      <c r="D111" s="25" t="s">
        <v>26</v>
      </c>
      <c r="E111" s="25" t="s">
        <v>121</v>
      </c>
      <c r="F111" s="38">
        <f t="shared" ref="F111:F134" si="6">+G111+H111</f>
        <v>209.19199197373223</v>
      </c>
      <c r="G111" s="38">
        <f t="shared" ref="G111:G151" si="7">+I111/10964*1000</f>
        <v>145.93214155417729</v>
      </c>
      <c r="H111" s="38">
        <v>63.259850419554922</v>
      </c>
      <c r="I111" s="38">
        <v>1600</v>
      </c>
      <c r="J111" s="25" t="s">
        <v>22</v>
      </c>
      <c r="K111" s="25" t="s">
        <v>366</v>
      </c>
      <c r="L111" s="42">
        <v>7</v>
      </c>
      <c r="M111" s="43" t="s">
        <v>367</v>
      </c>
    </row>
    <row r="112" spans="1:13" ht="75" x14ac:dyDescent="0.25">
      <c r="A112" s="35">
        <v>106</v>
      </c>
      <c r="B112" s="36">
        <v>2</v>
      </c>
      <c r="C112" s="54" t="s">
        <v>368</v>
      </c>
      <c r="D112" s="25" t="s">
        <v>77</v>
      </c>
      <c r="E112" s="25" t="s">
        <v>369</v>
      </c>
      <c r="F112" s="38">
        <f t="shared" si="6"/>
        <v>179.13352790952206</v>
      </c>
      <c r="G112" s="38">
        <f t="shared" si="7"/>
        <v>98.504195549069678</v>
      </c>
      <c r="H112" s="38">
        <f>884.02/10.964</f>
        <v>80.629332360452381</v>
      </c>
      <c r="I112" s="38">
        <v>1080</v>
      </c>
      <c r="J112" s="25" t="s">
        <v>370</v>
      </c>
      <c r="K112" s="25" t="s">
        <v>371</v>
      </c>
      <c r="L112" s="42">
        <v>25</v>
      </c>
      <c r="M112" s="43">
        <v>303825821</v>
      </c>
    </row>
    <row r="113" spans="1:13" x14ac:dyDescent="0.25">
      <c r="A113" s="35">
        <v>107</v>
      </c>
      <c r="B113" s="36">
        <v>3</v>
      </c>
      <c r="C113" s="54" t="s">
        <v>372</v>
      </c>
      <c r="D113" s="25" t="s">
        <v>26</v>
      </c>
      <c r="E113" s="25" t="s">
        <v>81</v>
      </c>
      <c r="F113" s="38">
        <f t="shared" si="6"/>
        <v>1450.8121944545785</v>
      </c>
      <c r="G113" s="38">
        <f t="shared" si="7"/>
        <v>957.67967894928859</v>
      </c>
      <c r="H113" s="38">
        <v>493.13251550528986</v>
      </c>
      <c r="I113" s="38">
        <v>10500</v>
      </c>
      <c r="J113" s="25" t="s">
        <v>22</v>
      </c>
      <c r="K113" s="25" t="s">
        <v>373</v>
      </c>
      <c r="L113" s="42">
        <v>19</v>
      </c>
      <c r="M113" s="43" t="s">
        <v>374</v>
      </c>
    </row>
    <row r="114" spans="1:13" x14ac:dyDescent="0.25">
      <c r="A114" s="35">
        <v>108</v>
      </c>
      <c r="B114" s="36">
        <v>4</v>
      </c>
      <c r="C114" s="54" t="s">
        <v>375</v>
      </c>
      <c r="D114" s="25" t="s">
        <v>20</v>
      </c>
      <c r="E114" s="25" t="s">
        <v>376</v>
      </c>
      <c r="F114" s="38">
        <f t="shared" si="6"/>
        <v>111.02859357898578</v>
      </c>
      <c r="G114" s="38">
        <f t="shared" si="7"/>
        <v>73.422108719445461</v>
      </c>
      <c r="H114" s="38">
        <v>37.606484859540316</v>
      </c>
      <c r="I114" s="38">
        <v>805</v>
      </c>
      <c r="J114" s="25" t="s">
        <v>377</v>
      </c>
      <c r="K114" s="25" t="s">
        <v>378</v>
      </c>
      <c r="L114" s="42">
        <v>5</v>
      </c>
      <c r="M114" s="43" t="s">
        <v>379</v>
      </c>
    </row>
    <row r="115" spans="1:13" x14ac:dyDescent="0.25">
      <c r="A115" s="35">
        <v>109</v>
      </c>
      <c r="B115" s="36">
        <v>5</v>
      </c>
      <c r="C115" s="54" t="s">
        <v>380</v>
      </c>
      <c r="D115" s="25" t="s">
        <v>14</v>
      </c>
      <c r="E115" s="25" t="s">
        <v>358</v>
      </c>
      <c r="F115" s="38">
        <f t="shared" si="6"/>
        <v>261.11434695366654</v>
      </c>
      <c r="G115" s="38">
        <f t="shared" si="7"/>
        <v>182.41517694272164</v>
      </c>
      <c r="H115" s="38">
        <v>78.699170010944911</v>
      </c>
      <c r="I115" s="38">
        <v>2000</v>
      </c>
      <c r="J115" s="25" t="s">
        <v>22</v>
      </c>
      <c r="K115" s="25" t="s">
        <v>381</v>
      </c>
      <c r="L115" s="42">
        <v>10</v>
      </c>
      <c r="M115" s="43" t="s">
        <v>382</v>
      </c>
    </row>
    <row r="116" spans="1:13" ht="30" x14ac:dyDescent="0.25">
      <c r="A116" s="35">
        <v>110</v>
      </c>
      <c r="B116" s="36">
        <v>6</v>
      </c>
      <c r="C116" s="54" t="s">
        <v>383</v>
      </c>
      <c r="D116" s="25" t="s">
        <v>77</v>
      </c>
      <c r="E116" s="25" t="s">
        <v>369</v>
      </c>
      <c r="F116" s="38">
        <f t="shared" si="6"/>
        <v>629.05873768697552</v>
      </c>
      <c r="G116" s="38">
        <f t="shared" si="7"/>
        <v>437.79642466253193</v>
      </c>
      <c r="H116" s="38">
        <v>191.26231302444364</v>
      </c>
      <c r="I116" s="38">
        <v>4800</v>
      </c>
      <c r="J116" s="25" t="s">
        <v>22</v>
      </c>
      <c r="K116" s="25" t="s">
        <v>384</v>
      </c>
      <c r="L116" s="42">
        <v>7</v>
      </c>
      <c r="M116" s="43" t="s">
        <v>385</v>
      </c>
    </row>
    <row r="117" spans="1:13" ht="30" x14ac:dyDescent="0.25">
      <c r="A117" s="35">
        <v>111</v>
      </c>
      <c r="B117" s="36">
        <v>7</v>
      </c>
      <c r="C117" s="54" t="s">
        <v>386</v>
      </c>
      <c r="D117" s="25" t="s">
        <v>77</v>
      </c>
      <c r="E117" s="25" t="s">
        <v>173</v>
      </c>
      <c r="F117" s="38">
        <f t="shared" si="6"/>
        <v>651.52735406785848</v>
      </c>
      <c r="G117" s="38">
        <f t="shared" si="7"/>
        <v>456.03794235680408</v>
      </c>
      <c r="H117" s="38">
        <v>195.48941171105437</v>
      </c>
      <c r="I117" s="38">
        <v>5000</v>
      </c>
      <c r="J117" s="25" t="s">
        <v>22</v>
      </c>
      <c r="K117" s="25" t="s">
        <v>387</v>
      </c>
      <c r="L117" s="42">
        <v>20</v>
      </c>
      <c r="M117" s="43" t="s">
        <v>388</v>
      </c>
    </row>
    <row r="118" spans="1:13" ht="30" x14ac:dyDescent="0.25">
      <c r="A118" s="35">
        <v>112</v>
      </c>
      <c r="B118" s="36">
        <v>8</v>
      </c>
      <c r="C118" s="54" t="s">
        <v>389</v>
      </c>
      <c r="D118" s="25" t="s">
        <v>77</v>
      </c>
      <c r="E118" s="25" t="s">
        <v>173</v>
      </c>
      <c r="F118" s="38">
        <f t="shared" si="6"/>
        <v>989.60233491426493</v>
      </c>
      <c r="G118" s="38">
        <f t="shared" si="7"/>
        <v>456.03794235680408</v>
      </c>
      <c r="H118" s="38">
        <v>533.56439255746079</v>
      </c>
      <c r="I118" s="38">
        <v>5000</v>
      </c>
      <c r="J118" s="25" t="s">
        <v>22</v>
      </c>
      <c r="K118" s="25" t="s">
        <v>390</v>
      </c>
      <c r="L118" s="42">
        <v>12</v>
      </c>
      <c r="M118" s="43" t="s">
        <v>391</v>
      </c>
    </row>
    <row r="119" spans="1:13" x14ac:dyDescent="0.25">
      <c r="A119" s="35">
        <v>113</v>
      </c>
      <c r="B119" s="36">
        <v>9</v>
      </c>
      <c r="C119" s="54" t="s">
        <v>392</v>
      </c>
      <c r="D119" s="25" t="s">
        <v>20</v>
      </c>
      <c r="E119" s="25" t="s">
        <v>21</v>
      </c>
      <c r="F119" s="38">
        <f t="shared" si="6"/>
        <v>414.2909339657059</v>
      </c>
      <c r="G119" s="38">
        <f t="shared" si="7"/>
        <v>242.9770156877052</v>
      </c>
      <c r="H119" s="38">
        <v>171.31391827800073</v>
      </c>
      <c r="I119" s="38">
        <v>2664</v>
      </c>
      <c r="J119" s="25" t="s">
        <v>22</v>
      </c>
      <c r="K119" s="25" t="s">
        <v>67</v>
      </c>
      <c r="L119" s="42">
        <v>15</v>
      </c>
      <c r="M119" s="43" t="s">
        <v>393</v>
      </c>
    </row>
    <row r="120" spans="1:13" x14ac:dyDescent="0.25">
      <c r="A120" s="35">
        <v>114</v>
      </c>
      <c r="B120" s="36">
        <v>10</v>
      </c>
      <c r="C120" s="54" t="s">
        <v>394</v>
      </c>
      <c r="D120" s="16" t="s">
        <v>69</v>
      </c>
      <c r="E120" s="25" t="s">
        <v>181</v>
      </c>
      <c r="F120" s="38">
        <f t="shared" si="6"/>
        <v>392.86619846771248</v>
      </c>
      <c r="G120" s="38">
        <f t="shared" si="7"/>
        <v>273.62276541408244</v>
      </c>
      <c r="H120" s="38">
        <v>119.24343305363006</v>
      </c>
      <c r="I120" s="38">
        <v>3000</v>
      </c>
      <c r="J120" s="25" t="s">
        <v>22</v>
      </c>
      <c r="K120" s="25" t="s">
        <v>395</v>
      </c>
      <c r="L120" s="42">
        <v>20</v>
      </c>
      <c r="M120" s="43" t="s">
        <v>396</v>
      </c>
    </row>
    <row r="121" spans="1:13" s="20" customFormat="1" ht="30" x14ac:dyDescent="0.25">
      <c r="A121" s="35">
        <v>115</v>
      </c>
      <c r="B121" s="36">
        <v>11</v>
      </c>
      <c r="C121" s="15" t="s">
        <v>397</v>
      </c>
      <c r="D121" s="16" t="s">
        <v>32</v>
      </c>
      <c r="E121" s="16" t="s">
        <v>398</v>
      </c>
      <c r="F121" s="17">
        <f t="shared" si="6"/>
        <v>2594.1599416271433</v>
      </c>
      <c r="G121" s="38">
        <f t="shared" si="7"/>
        <v>994.16271433783288</v>
      </c>
      <c r="H121" s="17">
        <v>1599.9972272893106</v>
      </c>
      <c r="I121" s="17">
        <v>10900</v>
      </c>
      <c r="J121" s="16" t="s">
        <v>16</v>
      </c>
      <c r="K121" s="16" t="s">
        <v>399</v>
      </c>
      <c r="L121" s="18">
        <v>66</v>
      </c>
      <c r="M121" s="19">
        <v>307677465</v>
      </c>
    </row>
    <row r="122" spans="1:13" ht="45" x14ac:dyDescent="0.25">
      <c r="A122" s="35">
        <v>116</v>
      </c>
      <c r="B122" s="36">
        <v>12</v>
      </c>
      <c r="C122" s="54" t="s">
        <v>400</v>
      </c>
      <c r="D122" s="25" t="s">
        <v>26</v>
      </c>
      <c r="E122" s="25" t="s">
        <v>121</v>
      </c>
      <c r="F122" s="38">
        <f t="shared" si="6"/>
        <v>638.45311929952595</v>
      </c>
      <c r="G122" s="38">
        <f t="shared" si="7"/>
        <v>446.91718350966801</v>
      </c>
      <c r="H122" s="38">
        <v>191.53593578985789</v>
      </c>
      <c r="I122" s="38">
        <v>4900</v>
      </c>
      <c r="J122" s="25" t="s">
        <v>370</v>
      </c>
      <c r="K122" s="25" t="s">
        <v>401</v>
      </c>
      <c r="L122" s="42">
        <v>30</v>
      </c>
      <c r="M122" s="43">
        <v>306166896</v>
      </c>
    </row>
    <row r="123" spans="1:13" ht="30" x14ac:dyDescent="0.25">
      <c r="A123" s="35">
        <v>117</v>
      </c>
      <c r="B123" s="36">
        <v>13</v>
      </c>
      <c r="C123" s="54" t="s">
        <v>402</v>
      </c>
      <c r="D123" s="25" t="s">
        <v>20</v>
      </c>
      <c r="E123" s="25" t="s">
        <v>376</v>
      </c>
      <c r="F123" s="38">
        <f t="shared" si="6"/>
        <v>100.12515961327982</v>
      </c>
      <c r="G123" s="38">
        <f t="shared" si="7"/>
        <v>69.8194089748267</v>
      </c>
      <c r="H123" s="38">
        <f>332272.25/10964</f>
        <v>30.305750638453119</v>
      </c>
      <c r="I123" s="38">
        <v>765.5</v>
      </c>
      <c r="J123" s="25" t="s">
        <v>16</v>
      </c>
      <c r="K123" s="25" t="s">
        <v>403</v>
      </c>
      <c r="L123" s="42">
        <v>14</v>
      </c>
      <c r="M123" s="43" t="s">
        <v>404</v>
      </c>
    </row>
    <row r="124" spans="1:13" x14ac:dyDescent="0.25">
      <c r="A124" s="35">
        <v>118</v>
      </c>
      <c r="B124" s="36">
        <v>14</v>
      </c>
      <c r="C124" s="54" t="s">
        <v>405</v>
      </c>
      <c r="D124" s="25" t="s">
        <v>20</v>
      </c>
      <c r="E124" s="25" t="s">
        <v>406</v>
      </c>
      <c r="F124" s="38">
        <f t="shared" si="6"/>
        <v>131.58518788763226</v>
      </c>
      <c r="G124" s="38">
        <f t="shared" si="7"/>
        <v>91.207588471360822</v>
      </c>
      <c r="H124" s="38">
        <f>442700/10964</f>
        <v>40.377599416271437</v>
      </c>
      <c r="I124" s="38">
        <v>1000</v>
      </c>
      <c r="J124" s="25" t="s">
        <v>16</v>
      </c>
      <c r="K124" s="25" t="s">
        <v>407</v>
      </c>
      <c r="L124" s="42">
        <v>13</v>
      </c>
      <c r="M124" s="43" t="s">
        <v>408</v>
      </c>
    </row>
    <row r="125" spans="1:13" ht="30" x14ac:dyDescent="0.25">
      <c r="A125" s="35">
        <v>119</v>
      </c>
      <c r="B125" s="36">
        <v>15</v>
      </c>
      <c r="C125" s="54" t="s">
        <v>409</v>
      </c>
      <c r="D125" s="25" t="s">
        <v>77</v>
      </c>
      <c r="E125" s="25" t="s">
        <v>173</v>
      </c>
      <c r="F125" s="38">
        <f t="shared" si="6"/>
        <v>653.60497993433057</v>
      </c>
      <c r="G125" s="38">
        <f t="shared" si="7"/>
        <v>456.03794235680408</v>
      </c>
      <c r="H125" s="38">
        <f>2166125/10964</f>
        <v>197.56703757752646</v>
      </c>
      <c r="I125" s="38">
        <v>5000</v>
      </c>
      <c r="J125" s="25" t="s">
        <v>22</v>
      </c>
      <c r="K125" s="25" t="s">
        <v>410</v>
      </c>
      <c r="L125" s="42">
        <v>9</v>
      </c>
      <c r="M125" s="43" t="s">
        <v>411</v>
      </c>
    </row>
    <row r="126" spans="1:13" ht="44.25" customHeight="1" x14ac:dyDescent="0.25">
      <c r="A126" s="35">
        <v>120</v>
      </c>
      <c r="B126" s="36">
        <v>16</v>
      </c>
      <c r="C126" s="54" t="s">
        <v>412</v>
      </c>
      <c r="D126" s="25" t="s">
        <v>20</v>
      </c>
      <c r="E126" s="25" t="s">
        <v>406</v>
      </c>
      <c r="F126" s="38">
        <f t="shared" si="6"/>
        <v>273.6227654172979</v>
      </c>
      <c r="G126" s="38">
        <f t="shared" si="7"/>
        <v>182.41517694272164</v>
      </c>
      <c r="H126" s="38">
        <v>91.207588474576269</v>
      </c>
      <c r="I126" s="38">
        <v>2000</v>
      </c>
      <c r="J126" s="25" t="s">
        <v>126</v>
      </c>
      <c r="K126" s="25" t="s">
        <v>413</v>
      </c>
      <c r="L126" s="42">
        <v>4</v>
      </c>
      <c r="M126" s="43" t="s">
        <v>414</v>
      </c>
    </row>
    <row r="127" spans="1:13" ht="30" x14ac:dyDescent="0.25">
      <c r="A127" s="35">
        <v>121</v>
      </c>
      <c r="B127" s="36">
        <v>17</v>
      </c>
      <c r="C127" s="54" t="s">
        <v>415</v>
      </c>
      <c r="D127" s="25" t="s">
        <v>20</v>
      </c>
      <c r="E127" s="25" t="s">
        <v>40</v>
      </c>
      <c r="F127" s="38">
        <f t="shared" si="6"/>
        <v>175.939438161255</v>
      </c>
      <c r="G127" s="38">
        <f t="shared" si="7"/>
        <v>93.943816125501641</v>
      </c>
      <c r="H127" s="38">
        <f>899000/10964</f>
        <v>81.995622035753371</v>
      </c>
      <c r="I127" s="38">
        <v>1030</v>
      </c>
      <c r="J127" s="25" t="s">
        <v>98</v>
      </c>
      <c r="K127" s="25" t="s">
        <v>416</v>
      </c>
      <c r="L127" s="42">
        <v>12</v>
      </c>
      <c r="M127" s="43" t="s">
        <v>417</v>
      </c>
    </row>
    <row r="128" spans="1:13" x14ac:dyDescent="0.25">
      <c r="A128" s="35">
        <v>122</v>
      </c>
      <c r="B128" s="36">
        <v>18</v>
      </c>
      <c r="C128" s="54" t="s">
        <v>418</v>
      </c>
      <c r="D128" s="25" t="s">
        <v>26</v>
      </c>
      <c r="E128" s="25" t="s">
        <v>121</v>
      </c>
      <c r="F128" s="38">
        <f t="shared" si="6"/>
        <v>260.86450200656697</v>
      </c>
      <c r="G128" s="38">
        <f t="shared" si="7"/>
        <v>182.41517694272164</v>
      </c>
      <c r="H128" s="38">
        <f>860118.4/10964</f>
        <v>78.449325063845308</v>
      </c>
      <c r="I128" s="38">
        <v>2000</v>
      </c>
      <c r="J128" s="25" t="s">
        <v>16</v>
      </c>
      <c r="K128" s="25" t="s">
        <v>419</v>
      </c>
      <c r="L128" s="42">
        <v>11</v>
      </c>
      <c r="M128" s="43" t="s">
        <v>420</v>
      </c>
    </row>
    <row r="129" spans="1:13" ht="30" x14ac:dyDescent="0.25">
      <c r="A129" s="35">
        <v>123</v>
      </c>
      <c r="B129" s="36">
        <v>19</v>
      </c>
      <c r="C129" s="54" t="s">
        <v>421</v>
      </c>
      <c r="D129" s="16" t="s">
        <v>69</v>
      </c>
      <c r="E129" s="25" t="s">
        <v>422</v>
      </c>
      <c r="F129" s="38">
        <f t="shared" si="6"/>
        <v>311.6380882889456</v>
      </c>
      <c r="G129" s="38">
        <f t="shared" si="7"/>
        <v>106.8770521707406</v>
      </c>
      <c r="H129" s="38">
        <f>2245000/10964</f>
        <v>204.76103611820503</v>
      </c>
      <c r="I129" s="38">
        <v>1171.8</v>
      </c>
      <c r="J129" s="25" t="s">
        <v>16</v>
      </c>
      <c r="K129" s="25" t="s">
        <v>423</v>
      </c>
      <c r="L129" s="42">
        <v>6</v>
      </c>
      <c r="M129" s="43" t="s">
        <v>424</v>
      </c>
    </row>
    <row r="130" spans="1:13" ht="30" x14ac:dyDescent="0.25">
      <c r="A130" s="35">
        <v>124</v>
      </c>
      <c r="B130" s="36">
        <v>20</v>
      </c>
      <c r="C130" s="54" t="s">
        <v>425</v>
      </c>
      <c r="D130" s="25" t="s">
        <v>324</v>
      </c>
      <c r="E130" s="25" t="s">
        <v>426</v>
      </c>
      <c r="F130" s="38">
        <f t="shared" si="6"/>
        <v>586.46479387085014</v>
      </c>
      <c r="G130" s="38">
        <f t="shared" si="7"/>
        <v>182.41517694272164</v>
      </c>
      <c r="H130" s="38">
        <f>4430000/10964</f>
        <v>404.04961692812844</v>
      </c>
      <c r="I130" s="38">
        <v>2000</v>
      </c>
      <c r="J130" s="25" t="s">
        <v>16</v>
      </c>
      <c r="K130" s="25" t="s">
        <v>427</v>
      </c>
      <c r="L130" s="42">
        <v>13</v>
      </c>
      <c r="M130" s="43" t="s">
        <v>428</v>
      </c>
    </row>
    <row r="131" spans="1:13" x14ac:dyDescent="0.25">
      <c r="A131" s="35">
        <v>125</v>
      </c>
      <c r="B131" s="36">
        <v>21</v>
      </c>
      <c r="C131" s="54" t="s">
        <v>429</v>
      </c>
      <c r="D131" s="16" t="s">
        <v>69</v>
      </c>
      <c r="E131" s="25" t="s">
        <v>430</v>
      </c>
      <c r="F131" s="38">
        <f t="shared" si="6"/>
        <v>662.39511127325795</v>
      </c>
      <c r="G131" s="38">
        <f t="shared" si="7"/>
        <v>456.03794235680408</v>
      </c>
      <c r="H131" s="38">
        <f>2262500/10964</f>
        <v>206.35716891645384</v>
      </c>
      <c r="I131" s="38">
        <v>5000</v>
      </c>
      <c r="J131" s="25" t="s">
        <v>16</v>
      </c>
      <c r="K131" s="25" t="s">
        <v>431</v>
      </c>
      <c r="L131" s="42">
        <v>8</v>
      </c>
      <c r="M131" s="43" t="s">
        <v>432</v>
      </c>
    </row>
    <row r="132" spans="1:13" s="20" customFormat="1" ht="30" x14ac:dyDescent="0.25">
      <c r="A132" s="35">
        <v>126</v>
      </c>
      <c r="B132" s="36">
        <v>22</v>
      </c>
      <c r="C132" s="15" t="s">
        <v>433</v>
      </c>
      <c r="D132" s="16" t="s">
        <v>32</v>
      </c>
      <c r="E132" s="16" t="s">
        <v>434</v>
      </c>
      <c r="F132" s="17">
        <f t="shared" si="6"/>
        <v>739.08537030280922</v>
      </c>
      <c r="G132" s="17">
        <f t="shared" si="7"/>
        <v>456.03794235680408</v>
      </c>
      <c r="H132" s="17">
        <f>3103332/10964</f>
        <v>283.04742794600509</v>
      </c>
      <c r="I132" s="17">
        <v>5000</v>
      </c>
      <c r="J132" s="16" t="s">
        <v>16</v>
      </c>
      <c r="K132" s="16" t="s">
        <v>435</v>
      </c>
      <c r="L132" s="18">
        <v>9</v>
      </c>
      <c r="M132" s="19" t="s">
        <v>436</v>
      </c>
    </row>
    <row r="133" spans="1:13" ht="30" x14ac:dyDescent="0.25">
      <c r="A133" s="35">
        <v>127</v>
      </c>
      <c r="B133" s="36">
        <v>23</v>
      </c>
      <c r="C133" s="54" t="s">
        <v>437</v>
      </c>
      <c r="D133" s="25" t="s">
        <v>26</v>
      </c>
      <c r="E133" s="24" t="s">
        <v>272</v>
      </c>
      <c r="F133" s="17">
        <f t="shared" si="6"/>
        <v>526.78551623495071</v>
      </c>
      <c r="G133" s="38">
        <f t="shared" si="7"/>
        <v>205.21707406056183</v>
      </c>
      <c r="H133" s="55">
        <f>3525676400/10964/1000</f>
        <v>321.56844217438891</v>
      </c>
      <c r="I133" s="38">
        <v>2250</v>
      </c>
      <c r="J133" s="25" t="s">
        <v>16</v>
      </c>
      <c r="K133" s="25" t="s">
        <v>438</v>
      </c>
      <c r="L133" s="42">
        <v>13</v>
      </c>
      <c r="M133" s="43" t="s">
        <v>439</v>
      </c>
    </row>
    <row r="134" spans="1:13" ht="30" x14ac:dyDescent="0.25">
      <c r="A134" s="35">
        <v>128</v>
      </c>
      <c r="B134" s="36">
        <v>24</v>
      </c>
      <c r="C134" s="54" t="s">
        <v>440</v>
      </c>
      <c r="D134" s="25" t="s">
        <v>441</v>
      </c>
      <c r="E134" s="24" t="s">
        <v>442</v>
      </c>
      <c r="F134" s="38">
        <f t="shared" si="6"/>
        <v>1899.3921096315214</v>
      </c>
      <c r="G134" s="38">
        <f t="shared" si="7"/>
        <v>998.72309376140106</v>
      </c>
      <c r="H134" s="38">
        <f>9874935090/10964/1000</f>
        <v>900.66901587012035</v>
      </c>
      <c r="I134" s="38">
        <v>10950</v>
      </c>
      <c r="J134" s="25" t="s">
        <v>126</v>
      </c>
      <c r="K134" s="25" t="s">
        <v>443</v>
      </c>
      <c r="L134" s="42">
        <v>19</v>
      </c>
      <c r="M134" s="43" t="s">
        <v>444</v>
      </c>
    </row>
    <row r="135" spans="1:13" ht="30" x14ac:dyDescent="0.25">
      <c r="A135" s="35">
        <v>129</v>
      </c>
      <c r="B135" s="36">
        <v>25</v>
      </c>
      <c r="C135" s="54" t="s">
        <v>445</v>
      </c>
      <c r="D135" s="25" t="s">
        <v>26</v>
      </c>
      <c r="E135" s="24" t="s">
        <v>66</v>
      </c>
      <c r="F135" s="38">
        <f>G135+H135</f>
        <v>1185.6986501276906</v>
      </c>
      <c r="G135" s="38">
        <f t="shared" si="7"/>
        <v>456.03794235680408</v>
      </c>
      <c r="H135" s="38">
        <v>729.66070777088657</v>
      </c>
      <c r="I135" s="38">
        <v>5000</v>
      </c>
      <c r="J135" s="25" t="s">
        <v>16</v>
      </c>
      <c r="K135" s="25" t="s">
        <v>446</v>
      </c>
      <c r="L135" s="42">
        <v>34</v>
      </c>
      <c r="M135" s="43" t="s">
        <v>447</v>
      </c>
    </row>
    <row r="136" spans="1:13" x14ac:dyDescent="0.25">
      <c r="A136" s="35">
        <v>130</v>
      </c>
      <c r="B136" s="36">
        <v>26</v>
      </c>
      <c r="C136" s="54" t="s">
        <v>448</v>
      </c>
      <c r="D136" s="16" t="s">
        <v>230</v>
      </c>
      <c r="E136" s="25" t="s">
        <v>449</v>
      </c>
      <c r="F136" s="38">
        <f>G136+H136</f>
        <v>130.57561109084276</v>
      </c>
      <c r="G136" s="38">
        <f t="shared" si="7"/>
        <v>91.207588471360822</v>
      </c>
      <c r="H136" s="38">
        <f>431631/10964</f>
        <v>39.368022619481941</v>
      </c>
      <c r="I136" s="38">
        <v>1000</v>
      </c>
      <c r="J136" s="25" t="s">
        <v>16</v>
      </c>
      <c r="K136" s="25" t="s">
        <v>450</v>
      </c>
      <c r="L136" s="42">
        <v>7</v>
      </c>
      <c r="M136" s="43" t="s">
        <v>451</v>
      </c>
    </row>
    <row r="137" spans="1:13" ht="30" x14ac:dyDescent="0.25">
      <c r="A137" s="35">
        <v>131</v>
      </c>
      <c r="B137" s="36">
        <v>27</v>
      </c>
      <c r="C137" s="54" t="s">
        <v>452</v>
      </c>
      <c r="D137" s="25" t="s">
        <v>32</v>
      </c>
      <c r="E137" s="25" t="s">
        <v>434</v>
      </c>
      <c r="F137" s="38">
        <v>156.87705217074063</v>
      </c>
      <c r="G137" s="38">
        <f t="shared" si="7"/>
        <v>109.44910616563298</v>
      </c>
      <c r="H137" s="38">
        <v>47.427946005107628</v>
      </c>
      <c r="I137" s="38">
        <v>1200</v>
      </c>
      <c r="J137" s="25" t="s">
        <v>16</v>
      </c>
      <c r="K137" s="25" t="s">
        <v>453</v>
      </c>
      <c r="L137" s="42">
        <v>5</v>
      </c>
      <c r="M137" s="43" t="s">
        <v>454</v>
      </c>
    </row>
    <row r="138" spans="1:13" ht="30" x14ac:dyDescent="0.25">
      <c r="A138" s="35">
        <v>132</v>
      </c>
      <c r="B138" s="36">
        <v>28</v>
      </c>
      <c r="C138" s="54" t="s">
        <v>455</v>
      </c>
      <c r="D138" s="16" t="s">
        <v>69</v>
      </c>
      <c r="E138" s="25" t="s">
        <v>70</v>
      </c>
      <c r="F138" s="38">
        <v>114.70631156512222</v>
      </c>
      <c r="G138" s="38">
        <f t="shared" si="7"/>
        <v>63.845311929952572</v>
      </c>
      <c r="H138" s="38">
        <v>50.860999635169648</v>
      </c>
      <c r="I138" s="38">
        <v>700</v>
      </c>
      <c r="J138" s="25" t="s">
        <v>16</v>
      </c>
      <c r="K138" s="25" t="s">
        <v>456</v>
      </c>
      <c r="L138" s="42">
        <v>5</v>
      </c>
      <c r="M138" s="43" t="s">
        <v>457</v>
      </c>
    </row>
    <row r="139" spans="1:13" s="20" customFormat="1" x14ac:dyDescent="0.25">
      <c r="A139" s="35">
        <v>133</v>
      </c>
      <c r="B139" s="36">
        <v>29</v>
      </c>
      <c r="C139" s="15" t="s">
        <v>458</v>
      </c>
      <c r="D139" s="16" t="s">
        <v>69</v>
      </c>
      <c r="E139" s="16" t="s">
        <v>430</v>
      </c>
      <c r="F139" s="17">
        <v>52.658883619117113</v>
      </c>
      <c r="G139" s="38">
        <f t="shared" si="7"/>
        <v>36.209412623130248</v>
      </c>
      <c r="H139" s="17">
        <v>16.449470995986864</v>
      </c>
      <c r="I139" s="17">
        <v>397</v>
      </c>
      <c r="J139" s="16" t="s">
        <v>16</v>
      </c>
      <c r="K139" s="16" t="s">
        <v>459</v>
      </c>
      <c r="L139" s="18">
        <v>5</v>
      </c>
      <c r="M139" s="19" t="s">
        <v>460</v>
      </c>
    </row>
    <row r="140" spans="1:13" x14ac:dyDescent="0.25">
      <c r="A140" s="35">
        <v>134</v>
      </c>
      <c r="B140" s="36">
        <v>30</v>
      </c>
      <c r="C140" s="54" t="s">
        <v>461</v>
      </c>
      <c r="D140" s="16" t="s">
        <v>69</v>
      </c>
      <c r="E140" s="25" t="s">
        <v>422</v>
      </c>
      <c r="F140" s="38">
        <f t="shared" ref="F140:F178" si="8">G140+H140</f>
        <v>53.26669094593214</v>
      </c>
      <c r="G140" s="38">
        <f t="shared" si="7"/>
        <v>33.655600145932141</v>
      </c>
      <c r="H140" s="38">
        <v>19.611090799999999</v>
      </c>
      <c r="I140" s="38">
        <v>369</v>
      </c>
      <c r="J140" s="25" t="s">
        <v>16</v>
      </c>
      <c r="K140" s="25" t="s">
        <v>462</v>
      </c>
      <c r="L140" s="42">
        <v>8</v>
      </c>
      <c r="M140" s="42">
        <v>304294099</v>
      </c>
    </row>
    <row r="141" spans="1:13" s="61" customFormat="1" x14ac:dyDescent="0.25">
      <c r="A141" s="35">
        <v>135</v>
      </c>
      <c r="B141" s="36">
        <v>31</v>
      </c>
      <c r="C141" s="57" t="s">
        <v>463</v>
      </c>
      <c r="D141" s="24" t="s">
        <v>235</v>
      </c>
      <c r="E141" s="24" t="s">
        <v>344</v>
      </c>
      <c r="F141" s="58">
        <f t="shared" si="8"/>
        <v>538.68031740240735</v>
      </c>
      <c r="G141" s="38">
        <f t="shared" si="7"/>
        <v>364.83035388544329</v>
      </c>
      <c r="H141" s="58">
        <v>173.84996351696401</v>
      </c>
      <c r="I141" s="58">
        <v>4000</v>
      </c>
      <c r="J141" s="24" t="s">
        <v>16</v>
      </c>
      <c r="K141" s="24" t="s">
        <v>464</v>
      </c>
      <c r="L141" s="59">
        <v>8</v>
      </c>
      <c r="M141" s="60" t="s">
        <v>465</v>
      </c>
    </row>
    <row r="142" spans="1:13" s="20" customFormat="1" ht="30" x14ac:dyDescent="0.25">
      <c r="A142" s="35">
        <v>136</v>
      </c>
      <c r="B142" s="36">
        <v>32</v>
      </c>
      <c r="C142" s="15" t="s">
        <v>466</v>
      </c>
      <c r="D142" s="16" t="s">
        <v>235</v>
      </c>
      <c r="E142" s="16" t="s">
        <v>467</v>
      </c>
      <c r="F142" s="17">
        <f t="shared" si="8"/>
        <v>157.42429770156841</v>
      </c>
      <c r="G142" s="17">
        <f t="shared" si="7"/>
        <v>45.603794235680411</v>
      </c>
      <c r="H142" s="17">
        <v>111.820503465888</v>
      </c>
      <c r="I142" s="17">
        <v>500</v>
      </c>
      <c r="J142" s="16" t="s">
        <v>28</v>
      </c>
      <c r="K142" s="21" t="s">
        <v>468</v>
      </c>
      <c r="L142" s="18">
        <v>13</v>
      </c>
      <c r="M142" s="18">
        <v>206221292</v>
      </c>
    </row>
    <row r="143" spans="1:13" s="62" customFormat="1" x14ac:dyDescent="0.25">
      <c r="A143" s="35">
        <v>137</v>
      </c>
      <c r="B143" s="36">
        <v>33</v>
      </c>
      <c r="C143" s="15" t="s">
        <v>469</v>
      </c>
      <c r="D143" s="16" t="s">
        <v>32</v>
      </c>
      <c r="E143" s="16" t="s">
        <v>470</v>
      </c>
      <c r="F143" s="17">
        <f t="shared" si="8"/>
        <v>105.18059102517324</v>
      </c>
      <c r="G143" s="38">
        <f t="shared" si="7"/>
        <v>72.966070777088646</v>
      </c>
      <c r="H143" s="17">
        <v>32.214520248084597</v>
      </c>
      <c r="I143" s="17">
        <v>800</v>
      </c>
      <c r="J143" s="16" t="s">
        <v>126</v>
      </c>
      <c r="K143" s="16" t="s">
        <v>471</v>
      </c>
      <c r="L143" s="18">
        <v>8</v>
      </c>
      <c r="M143" s="19" t="s">
        <v>472</v>
      </c>
    </row>
    <row r="144" spans="1:13" s="20" customFormat="1" x14ac:dyDescent="0.25">
      <c r="A144" s="35">
        <v>138</v>
      </c>
      <c r="B144" s="36">
        <v>34</v>
      </c>
      <c r="C144" s="15" t="s">
        <v>473</v>
      </c>
      <c r="D144" s="16" t="s">
        <v>324</v>
      </c>
      <c r="E144" s="16" t="s">
        <v>426</v>
      </c>
      <c r="F144" s="17">
        <f t="shared" si="8"/>
        <v>909.33965705946639</v>
      </c>
      <c r="G144" s="38">
        <f t="shared" si="7"/>
        <v>273.62276541408244</v>
      </c>
      <c r="H144" s="17">
        <v>635.71689164538395</v>
      </c>
      <c r="I144" s="17">
        <v>3000</v>
      </c>
      <c r="J144" s="16" t="s">
        <v>16</v>
      </c>
      <c r="K144" s="16" t="s">
        <v>474</v>
      </c>
      <c r="L144" s="18">
        <v>13</v>
      </c>
      <c r="M144" s="18">
        <v>309452444</v>
      </c>
    </row>
    <row r="145" spans="1:13" s="62" customFormat="1" x14ac:dyDescent="0.25">
      <c r="A145" s="35">
        <v>139</v>
      </c>
      <c r="B145" s="36">
        <v>35</v>
      </c>
      <c r="C145" s="15" t="s">
        <v>475</v>
      </c>
      <c r="D145" s="16" t="s">
        <v>324</v>
      </c>
      <c r="E145" s="16" t="s">
        <v>476</v>
      </c>
      <c r="F145" s="17">
        <f t="shared" si="8"/>
        <v>67.916818679314105</v>
      </c>
      <c r="G145" s="38">
        <f t="shared" si="7"/>
        <v>23.713973002553814</v>
      </c>
      <c r="H145" s="17">
        <v>44.202845676760298</v>
      </c>
      <c r="I145" s="17">
        <v>260</v>
      </c>
      <c r="J145" s="16" t="s">
        <v>16</v>
      </c>
      <c r="K145" s="16" t="s">
        <v>477</v>
      </c>
      <c r="L145" s="18">
        <v>6</v>
      </c>
      <c r="M145" s="18">
        <v>309588417</v>
      </c>
    </row>
    <row r="146" spans="1:13" s="62" customFormat="1" ht="34.5" customHeight="1" x14ac:dyDescent="0.25">
      <c r="A146" s="35">
        <v>140</v>
      </c>
      <c r="B146" s="36">
        <v>36</v>
      </c>
      <c r="C146" s="15" t="s">
        <v>478</v>
      </c>
      <c r="D146" s="16" t="s">
        <v>253</v>
      </c>
      <c r="E146" s="16" t="s">
        <v>479</v>
      </c>
      <c r="F146" s="17">
        <f t="shared" si="8"/>
        <v>1607.077708865374</v>
      </c>
      <c r="G146" s="38">
        <f t="shared" si="7"/>
        <v>456.03794235680408</v>
      </c>
      <c r="H146" s="17">
        <v>1151.03976650857</v>
      </c>
      <c r="I146" s="17">
        <v>5000</v>
      </c>
      <c r="J146" s="16" t="s">
        <v>16</v>
      </c>
      <c r="K146" s="16" t="s">
        <v>480</v>
      </c>
      <c r="L146" s="18">
        <v>45</v>
      </c>
      <c r="M146" s="19" t="s">
        <v>481</v>
      </c>
    </row>
    <row r="147" spans="1:13" s="20" customFormat="1" ht="30" x14ac:dyDescent="0.25">
      <c r="A147" s="35">
        <v>141</v>
      </c>
      <c r="B147" s="36">
        <v>37</v>
      </c>
      <c r="C147" s="15" t="s">
        <v>482</v>
      </c>
      <c r="D147" s="16" t="s">
        <v>26</v>
      </c>
      <c r="E147" s="16" t="s">
        <v>66</v>
      </c>
      <c r="F147" s="17">
        <f t="shared" si="8"/>
        <v>586.66472090477862</v>
      </c>
      <c r="G147" s="38">
        <f t="shared" si="7"/>
        <v>410.43414812112366</v>
      </c>
      <c r="H147" s="17">
        <v>176.23057278365499</v>
      </c>
      <c r="I147" s="17">
        <v>4500</v>
      </c>
      <c r="J147" s="16" t="s">
        <v>16</v>
      </c>
      <c r="K147" s="16" t="s">
        <v>483</v>
      </c>
      <c r="L147" s="18">
        <v>10</v>
      </c>
      <c r="M147" s="19" t="s">
        <v>484</v>
      </c>
    </row>
    <row r="148" spans="1:13" s="20" customFormat="1" ht="30" x14ac:dyDescent="0.25">
      <c r="A148" s="35">
        <v>142</v>
      </c>
      <c r="B148" s="36">
        <v>38</v>
      </c>
      <c r="C148" s="15" t="s">
        <v>485</v>
      </c>
      <c r="D148" s="16" t="s">
        <v>20</v>
      </c>
      <c r="E148" s="16" t="s">
        <v>406</v>
      </c>
      <c r="F148" s="17">
        <f t="shared" si="8"/>
        <v>59.722728931047072</v>
      </c>
      <c r="G148" s="38">
        <f t="shared" si="7"/>
        <v>41.043414812112374</v>
      </c>
      <c r="H148" s="17">
        <f>204.8/10.964</f>
        <v>18.679314118934695</v>
      </c>
      <c r="I148" s="17">
        <v>450</v>
      </c>
      <c r="J148" s="16" t="s">
        <v>16</v>
      </c>
      <c r="K148" s="16" t="s">
        <v>486</v>
      </c>
      <c r="L148" s="18">
        <v>9</v>
      </c>
      <c r="M148" s="19" t="s">
        <v>487</v>
      </c>
    </row>
    <row r="149" spans="1:13" s="20" customFormat="1" ht="30" x14ac:dyDescent="0.25">
      <c r="A149" s="35">
        <v>143</v>
      </c>
      <c r="B149" s="36">
        <v>39</v>
      </c>
      <c r="C149" s="15" t="s">
        <v>488</v>
      </c>
      <c r="D149" s="16" t="s">
        <v>235</v>
      </c>
      <c r="E149" s="16" t="s">
        <v>268</v>
      </c>
      <c r="F149" s="17">
        <f t="shared" si="8"/>
        <v>150.00798066399116</v>
      </c>
      <c r="G149" s="38">
        <f t="shared" si="7"/>
        <v>95.767967894928859</v>
      </c>
      <c r="H149" s="17">
        <v>54.240012769062297</v>
      </c>
      <c r="I149" s="17">
        <v>1050</v>
      </c>
      <c r="J149" s="16" t="s">
        <v>126</v>
      </c>
      <c r="K149" s="16" t="s">
        <v>489</v>
      </c>
      <c r="L149" s="18">
        <v>5</v>
      </c>
      <c r="M149" s="19" t="s">
        <v>490</v>
      </c>
    </row>
    <row r="150" spans="1:13" s="20" customFormat="1" ht="45" x14ac:dyDescent="0.25">
      <c r="A150" s="35">
        <v>144</v>
      </c>
      <c r="B150" s="36">
        <v>40</v>
      </c>
      <c r="C150" s="15" t="s">
        <v>491</v>
      </c>
      <c r="D150" s="16" t="s">
        <v>26</v>
      </c>
      <c r="E150" s="16" t="s">
        <v>492</v>
      </c>
      <c r="F150" s="17">
        <f t="shared" si="8"/>
        <v>142.597136081722</v>
      </c>
      <c r="G150" s="38">
        <f t="shared" si="7"/>
        <v>99.416271433783294</v>
      </c>
      <c r="H150" s="17">
        <v>43.180864647938698</v>
      </c>
      <c r="I150" s="17">
        <v>1090</v>
      </c>
      <c r="J150" s="16" t="s">
        <v>28</v>
      </c>
      <c r="K150" s="16" t="s">
        <v>493</v>
      </c>
      <c r="L150" s="18">
        <v>4</v>
      </c>
      <c r="M150" s="19" t="s">
        <v>494</v>
      </c>
    </row>
    <row r="151" spans="1:13" s="20" customFormat="1" x14ac:dyDescent="0.25">
      <c r="A151" s="35">
        <v>145</v>
      </c>
      <c r="B151" s="36">
        <v>41</v>
      </c>
      <c r="C151" s="15" t="s">
        <v>495</v>
      </c>
      <c r="D151" s="16" t="s">
        <v>32</v>
      </c>
      <c r="E151" s="16" t="s">
        <v>36</v>
      </c>
      <c r="F151" s="17">
        <f t="shared" si="8"/>
        <v>91.207588471360793</v>
      </c>
      <c r="G151" s="38">
        <f t="shared" si="7"/>
        <v>54.724553082816492</v>
      </c>
      <c r="H151" s="17">
        <v>36.483035388544302</v>
      </c>
      <c r="I151" s="17">
        <v>600</v>
      </c>
      <c r="J151" s="16" t="s">
        <v>22</v>
      </c>
      <c r="K151" s="16" t="s">
        <v>496</v>
      </c>
      <c r="L151" s="18">
        <v>5</v>
      </c>
      <c r="M151" s="19" t="s">
        <v>497</v>
      </c>
    </row>
    <row r="152" spans="1:13" s="20" customFormat="1" ht="30" x14ac:dyDescent="0.25">
      <c r="A152" s="35">
        <v>146</v>
      </c>
      <c r="B152" s="36">
        <v>42</v>
      </c>
      <c r="C152" s="15" t="s">
        <v>498</v>
      </c>
      <c r="D152" s="16" t="s">
        <v>32</v>
      </c>
      <c r="E152" s="16" t="s">
        <v>434</v>
      </c>
      <c r="F152" s="63">
        <f t="shared" si="8"/>
        <v>129.41752735811406</v>
      </c>
      <c r="G152" s="17">
        <f>(271.700000000342/10.964)+(728.299999999996/13.37011)</f>
        <v>79.253353698865652</v>
      </c>
      <c r="H152" s="63">
        <v>50.164173659248398</v>
      </c>
      <c r="I152" s="63">
        <v>1000</v>
      </c>
      <c r="J152" s="24" t="s">
        <v>16</v>
      </c>
      <c r="K152" s="16" t="s">
        <v>499</v>
      </c>
      <c r="L152" s="18">
        <v>9</v>
      </c>
      <c r="M152" s="19" t="s">
        <v>454</v>
      </c>
    </row>
    <row r="153" spans="1:13" s="20" customFormat="1" ht="30" x14ac:dyDescent="0.25">
      <c r="A153" s="35">
        <v>147</v>
      </c>
      <c r="B153" s="36">
        <v>43</v>
      </c>
      <c r="C153" s="15" t="s">
        <v>500</v>
      </c>
      <c r="D153" s="16" t="s">
        <v>14</v>
      </c>
      <c r="E153" s="16" t="s">
        <v>501</v>
      </c>
      <c r="F153" s="17">
        <f t="shared" si="8"/>
        <v>159.08620048750532</v>
      </c>
      <c r="G153" s="17">
        <f>I153/13.37011</f>
        <v>112.1905504143197</v>
      </c>
      <c r="H153" s="17">
        <f>627/13.37011</f>
        <v>46.895650073185635</v>
      </c>
      <c r="I153" s="17">
        <v>1500</v>
      </c>
      <c r="J153" s="16" t="s">
        <v>16</v>
      </c>
      <c r="K153" s="16" t="s">
        <v>502</v>
      </c>
      <c r="L153" s="18">
        <v>10</v>
      </c>
      <c r="M153" s="19" t="s">
        <v>503</v>
      </c>
    </row>
    <row r="154" spans="1:13" s="20" customFormat="1" ht="30" x14ac:dyDescent="0.25">
      <c r="A154" s="35">
        <v>148</v>
      </c>
      <c r="B154" s="36">
        <v>44</v>
      </c>
      <c r="C154" s="15" t="s">
        <v>504</v>
      </c>
      <c r="D154" s="16" t="s">
        <v>26</v>
      </c>
      <c r="E154" s="16" t="s">
        <v>272</v>
      </c>
      <c r="F154" s="17">
        <f t="shared" si="8"/>
        <v>1588.6181938667669</v>
      </c>
      <c r="G154" s="17">
        <f t="shared" ref="G154:G178" si="9">I154/13.37011</f>
        <v>964.83873356314939</v>
      </c>
      <c r="H154" s="17">
        <f>8340/13.37011</f>
        <v>623.7794603036175</v>
      </c>
      <c r="I154" s="17">
        <v>12900</v>
      </c>
      <c r="J154" s="16" t="s">
        <v>16</v>
      </c>
      <c r="K154" s="16" t="s">
        <v>505</v>
      </c>
      <c r="L154" s="18">
        <v>64</v>
      </c>
      <c r="M154" s="19" t="s">
        <v>506</v>
      </c>
    </row>
    <row r="155" spans="1:13" s="20" customFormat="1" ht="60" x14ac:dyDescent="0.25">
      <c r="A155" s="35">
        <v>149</v>
      </c>
      <c r="B155" s="36">
        <v>45</v>
      </c>
      <c r="C155" s="15" t="s">
        <v>507</v>
      </c>
      <c r="D155" s="16" t="s">
        <v>26</v>
      </c>
      <c r="E155" s="16" t="s">
        <v>121</v>
      </c>
      <c r="F155" s="17">
        <f t="shared" si="8"/>
        <v>128.77872463278163</v>
      </c>
      <c r="G155" s="17">
        <f t="shared" si="9"/>
        <v>89.886000489150803</v>
      </c>
      <c r="H155" s="17">
        <f>520/13.37011</f>
        <v>38.892724143630829</v>
      </c>
      <c r="I155" s="17">
        <v>1201.7857140000001</v>
      </c>
      <c r="J155" s="16" t="s">
        <v>28</v>
      </c>
      <c r="K155" s="21" t="s">
        <v>508</v>
      </c>
      <c r="L155" s="18">
        <v>3</v>
      </c>
      <c r="M155" s="19" t="s">
        <v>509</v>
      </c>
    </row>
    <row r="156" spans="1:13" s="67" customFormat="1" ht="30" x14ac:dyDescent="0.25">
      <c r="A156" s="35">
        <v>150</v>
      </c>
      <c r="B156" s="36">
        <v>46</v>
      </c>
      <c r="C156" s="15" t="s">
        <v>510</v>
      </c>
      <c r="D156" s="21" t="s">
        <v>324</v>
      </c>
      <c r="E156" s="21" t="s">
        <v>511</v>
      </c>
      <c r="F156" s="64">
        <f t="shared" si="8"/>
        <v>321.61390594393015</v>
      </c>
      <c r="G156" s="64">
        <f t="shared" si="9"/>
        <v>224.3811008286394</v>
      </c>
      <c r="H156" s="64">
        <f>1300.0133/13.37011</f>
        <v>97.232805115290745</v>
      </c>
      <c r="I156" s="64">
        <v>3000</v>
      </c>
      <c r="J156" s="21" t="s">
        <v>16</v>
      </c>
      <c r="K156" s="21" t="s">
        <v>512</v>
      </c>
      <c r="L156" s="65">
        <v>10</v>
      </c>
      <c r="M156" s="66">
        <v>301165165</v>
      </c>
    </row>
    <row r="157" spans="1:13" s="67" customFormat="1" x14ac:dyDescent="0.25">
      <c r="A157" s="35">
        <v>151</v>
      </c>
      <c r="B157" s="36">
        <v>47</v>
      </c>
      <c r="C157" s="15" t="s">
        <v>513</v>
      </c>
      <c r="D157" s="21" t="s">
        <v>324</v>
      </c>
      <c r="E157" s="21" t="s">
        <v>351</v>
      </c>
      <c r="F157" s="64">
        <f t="shared" si="8"/>
        <v>120.04463688032484</v>
      </c>
      <c r="G157" s="64">
        <f t="shared" si="9"/>
        <v>74.79370027621313</v>
      </c>
      <c r="H157" s="64">
        <f>605.01/13.37011</f>
        <v>45.250936604111708</v>
      </c>
      <c r="I157" s="64">
        <v>1000</v>
      </c>
      <c r="J157" s="16" t="s">
        <v>22</v>
      </c>
      <c r="K157" s="21" t="s">
        <v>514</v>
      </c>
      <c r="L157" s="65">
        <v>10</v>
      </c>
      <c r="M157" s="66">
        <v>309545668</v>
      </c>
    </row>
    <row r="158" spans="1:13" s="67" customFormat="1" x14ac:dyDescent="0.25">
      <c r="A158" s="35">
        <v>152</v>
      </c>
      <c r="B158" s="36">
        <v>48</v>
      </c>
      <c r="C158" s="15" t="s">
        <v>515</v>
      </c>
      <c r="D158" s="21" t="s">
        <v>253</v>
      </c>
      <c r="E158" s="21" t="s">
        <v>516</v>
      </c>
      <c r="F158" s="64">
        <f t="shared" si="8"/>
        <v>545.70135174654501</v>
      </c>
      <c r="G158" s="64">
        <f t="shared" si="9"/>
        <v>164.54614060766889</v>
      </c>
      <c r="H158" s="64">
        <f>5096.0871/13.37011</f>
        <v>381.15521113887615</v>
      </c>
      <c r="I158" s="64">
        <v>2200</v>
      </c>
      <c r="J158" s="21" t="s">
        <v>16</v>
      </c>
      <c r="K158" s="21" t="s">
        <v>517</v>
      </c>
      <c r="L158" s="65">
        <v>8</v>
      </c>
      <c r="M158" s="66" t="s">
        <v>518</v>
      </c>
    </row>
    <row r="159" spans="1:13" s="68" customFormat="1" ht="60" x14ac:dyDescent="0.25">
      <c r="A159" s="35">
        <v>153</v>
      </c>
      <c r="B159" s="36">
        <v>49</v>
      </c>
      <c r="C159" s="15" t="s">
        <v>519</v>
      </c>
      <c r="D159" s="21" t="s">
        <v>48</v>
      </c>
      <c r="E159" s="21" t="s">
        <v>201</v>
      </c>
      <c r="F159" s="64">
        <f t="shared" si="8"/>
        <v>2984.2686410209039</v>
      </c>
      <c r="G159" s="64">
        <f t="shared" si="9"/>
        <v>934.92125345266413</v>
      </c>
      <c r="H159" s="64">
        <f>27400/13.37011</f>
        <v>2049.3473875682398</v>
      </c>
      <c r="I159" s="64">
        <v>12500</v>
      </c>
      <c r="J159" s="21" t="s">
        <v>16</v>
      </c>
      <c r="K159" s="21" t="s">
        <v>520</v>
      </c>
      <c r="L159" s="65">
        <v>50</v>
      </c>
      <c r="M159" s="66" t="s">
        <v>521</v>
      </c>
    </row>
    <row r="160" spans="1:13" s="68" customFormat="1" ht="30" x14ac:dyDescent="0.25">
      <c r="A160" s="35">
        <v>154</v>
      </c>
      <c r="B160" s="36">
        <v>50</v>
      </c>
      <c r="C160" s="15" t="s">
        <v>522</v>
      </c>
      <c r="D160" s="21" t="s">
        <v>77</v>
      </c>
      <c r="E160" s="21" t="s">
        <v>523</v>
      </c>
      <c r="F160" s="64">
        <f t="shared" si="8"/>
        <v>130.50004824193667</v>
      </c>
      <c r="G160" s="64">
        <f t="shared" si="9"/>
        <v>82.273070303834444</v>
      </c>
      <c r="H160" s="64">
        <f>(644800000/13370.11)/1000</f>
        <v>48.22697793810223</v>
      </c>
      <c r="I160" s="64">
        <v>1100</v>
      </c>
      <c r="J160" s="16" t="s">
        <v>22</v>
      </c>
      <c r="K160" s="21" t="s">
        <v>524</v>
      </c>
      <c r="L160" s="65">
        <v>3</v>
      </c>
      <c r="M160" s="66" t="s">
        <v>525</v>
      </c>
    </row>
    <row r="161" spans="1:13" s="68" customFormat="1" x14ac:dyDescent="0.25">
      <c r="A161" s="35">
        <v>155</v>
      </c>
      <c r="B161" s="36">
        <v>51</v>
      </c>
      <c r="C161" s="15" t="s">
        <v>526</v>
      </c>
      <c r="D161" s="21" t="s">
        <v>69</v>
      </c>
      <c r="E161" s="21" t="s">
        <v>430</v>
      </c>
      <c r="F161" s="64">
        <f t="shared" si="8"/>
        <v>625.64930281052284</v>
      </c>
      <c r="G161" s="64">
        <f t="shared" si="9"/>
        <v>224.3811008286394</v>
      </c>
      <c r="H161" s="64">
        <f>5365/13.37011</f>
        <v>401.26820198188346</v>
      </c>
      <c r="I161" s="64">
        <v>3000</v>
      </c>
      <c r="J161" s="21" t="s">
        <v>126</v>
      </c>
      <c r="K161" s="25" t="s">
        <v>527</v>
      </c>
      <c r="L161" s="65">
        <v>7</v>
      </c>
      <c r="M161" s="66" t="s">
        <v>528</v>
      </c>
    </row>
    <row r="162" spans="1:13" s="68" customFormat="1" ht="30" x14ac:dyDescent="0.25">
      <c r="A162" s="35">
        <v>156</v>
      </c>
      <c r="B162" s="36">
        <v>52</v>
      </c>
      <c r="C162" s="15" t="s">
        <v>529</v>
      </c>
      <c r="D162" s="21" t="s">
        <v>48</v>
      </c>
      <c r="E162" s="21" t="s">
        <v>530</v>
      </c>
      <c r="F162" s="64">
        <f t="shared" si="8"/>
        <v>89.752440331455759</v>
      </c>
      <c r="G162" s="64">
        <f t="shared" si="9"/>
        <v>59.834960220970508</v>
      </c>
      <c r="H162" s="64">
        <f>400/13.37011</f>
        <v>29.917480110485254</v>
      </c>
      <c r="I162" s="64">
        <v>800</v>
      </c>
      <c r="J162" s="21" t="s">
        <v>126</v>
      </c>
      <c r="K162" s="25" t="s">
        <v>531</v>
      </c>
      <c r="L162" s="65">
        <v>7</v>
      </c>
      <c r="M162" s="66" t="s">
        <v>532</v>
      </c>
    </row>
    <row r="163" spans="1:13" s="68" customFormat="1" x14ac:dyDescent="0.25">
      <c r="A163" s="35">
        <v>157</v>
      </c>
      <c r="B163" s="36">
        <v>53</v>
      </c>
      <c r="C163" s="15" t="s">
        <v>533</v>
      </c>
      <c r="D163" s="21" t="s">
        <v>230</v>
      </c>
      <c r="E163" s="21" t="s">
        <v>534</v>
      </c>
      <c r="F163" s="64">
        <f t="shared" si="8"/>
        <v>239.339840883882</v>
      </c>
      <c r="G163" s="64">
        <f t="shared" si="9"/>
        <v>145.8477155386156</v>
      </c>
      <c r="H163" s="64">
        <f>1250/13.37011</f>
        <v>93.492125345266416</v>
      </c>
      <c r="I163" s="64">
        <v>1950</v>
      </c>
      <c r="J163" s="16" t="s">
        <v>22</v>
      </c>
      <c r="K163" s="24" t="s">
        <v>535</v>
      </c>
      <c r="L163" s="65">
        <v>5</v>
      </c>
      <c r="M163" s="66" t="s">
        <v>536</v>
      </c>
    </row>
    <row r="164" spans="1:13" s="68" customFormat="1" ht="30" x14ac:dyDescent="0.25">
      <c r="A164" s="35">
        <v>158</v>
      </c>
      <c r="B164" s="36">
        <v>54</v>
      </c>
      <c r="C164" s="15" t="s">
        <v>537</v>
      </c>
      <c r="D164" s="21" t="s">
        <v>48</v>
      </c>
      <c r="E164" s="21" t="s">
        <v>530</v>
      </c>
      <c r="F164" s="64">
        <f t="shared" si="8"/>
        <v>189.88969088281993</v>
      </c>
      <c r="G164" s="64">
        <f t="shared" si="9"/>
        <v>74.79370027621313</v>
      </c>
      <c r="H164" s="64">
        <f>1538.96/13.3711</f>
        <v>115.09599060660679</v>
      </c>
      <c r="I164" s="64">
        <v>1000</v>
      </c>
      <c r="J164" s="16" t="s">
        <v>22</v>
      </c>
      <c r="K164" s="24" t="s">
        <v>538</v>
      </c>
      <c r="L164" s="65">
        <v>7</v>
      </c>
      <c r="M164" s="66" t="s">
        <v>539</v>
      </c>
    </row>
    <row r="165" spans="1:13" s="68" customFormat="1" ht="30" x14ac:dyDescent="0.25">
      <c r="A165" s="35">
        <v>159</v>
      </c>
      <c r="B165" s="36">
        <v>55</v>
      </c>
      <c r="C165" s="15" t="s">
        <v>540</v>
      </c>
      <c r="D165" s="21" t="s">
        <v>77</v>
      </c>
      <c r="E165" s="21" t="s">
        <v>523</v>
      </c>
      <c r="F165" s="64">
        <f t="shared" si="8"/>
        <v>167.53788861871743</v>
      </c>
      <c r="G165" s="64">
        <f t="shared" si="9"/>
        <v>97.231810359077073</v>
      </c>
      <c r="H165" s="64">
        <f>940/13.37011</f>
        <v>70.306078259640344</v>
      </c>
      <c r="I165" s="64">
        <v>1300</v>
      </c>
      <c r="J165" s="16" t="s">
        <v>22</v>
      </c>
      <c r="K165" s="24" t="s">
        <v>541</v>
      </c>
      <c r="L165" s="65">
        <v>2</v>
      </c>
      <c r="M165" s="66" t="s">
        <v>385</v>
      </c>
    </row>
    <row r="166" spans="1:13" s="68" customFormat="1" ht="30" x14ac:dyDescent="0.25">
      <c r="A166" s="35">
        <v>160</v>
      </c>
      <c r="B166" s="36">
        <v>56</v>
      </c>
      <c r="C166" s="15" t="s">
        <v>542</v>
      </c>
      <c r="D166" s="21" t="s">
        <v>230</v>
      </c>
      <c r="E166" s="21" t="s">
        <v>543</v>
      </c>
      <c r="F166" s="64">
        <f t="shared" si="8"/>
        <v>163.88702112398477</v>
      </c>
      <c r="G166" s="64">
        <f t="shared" si="9"/>
        <v>112.1905504143197</v>
      </c>
      <c r="H166" s="64">
        <f>691.1875/13.37011</f>
        <v>51.696470709665064</v>
      </c>
      <c r="I166" s="64">
        <v>1500</v>
      </c>
      <c r="J166" s="21" t="s">
        <v>126</v>
      </c>
      <c r="K166" s="24" t="s">
        <v>544</v>
      </c>
      <c r="L166" s="65">
        <v>5</v>
      </c>
      <c r="M166" s="66" t="s">
        <v>545</v>
      </c>
    </row>
    <row r="167" spans="1:13" s="68" customFormat="1" ht="30" x14ac:dyDescent="0.25">
      <c r="A167" s="35">
        <v>161</v>
      </c>
      <c r="B167" s="36">
        <v>57</v>
      </c>
      <c r="C167" s="15" t="s">
        <v>546</v>
      </c>
      <c r="D167" s="24" t="s">
        <v>235</v>
      </c>
      <c r="E167" s="21" t="s">
        <v>547</v>
      </c>
      <c r="F167" s="64">
        <f t="shared" si="8"/>
        <v>136.57329670436519</v>
      </c>
      <c r="G167" s="64">
        <f t="shared" si="9"/>
        <v>89.752440331455759</v>
      </c>
      <c r="H167" s="64">
        <f>626/13.37011</f>
        <v>46.820856372909418</v>
      </c>
      <c r="I167" s="64">
        <v>1200</v>
      </c>
      <c r="J167" s="21" t="s">
        <v>16</v>
      </c>
      <c r="K167" s="24" t="s">
        <v>548</v>
      </c>
      <c r="L167" s="65">
        <v>4</v>
      </c>
      <c r="M167" s="66" t="s">
        <v>549</v>
      </c>
    </row>
    <row r="168" spans="1:13" s="68" customFormat="1" x14ac:dyDescent="0.25">
      <c r="A168" s="35">
        <v>162</v>
      </c>
      <c r="B168" s="36">
        <v>58</v>
      </c>
      <c r="C168" s="15" t="s">
        <v>550</v>
      </c>
      <c r="D168" s="24" t="s">
        <v>225</v>
      </c>
      <c r="E168" s="21" t="s">
        <v>551</v>
      </c>
      <c r="F168" s="64">
        <f t="shared" si="8"/>
        <v>271.77146757679179</v>
      </c>
      <c r="G168" s="64">
        <f>I168/14.65</f>
        <v>92.150170648464155</v>
      </c>
      <c r="H168" s="64">
        <f>2631.452/14.65</f>
        <v>179.62129692832767</v>
      </c>
      <c r="I168" s="64">
        <v>1350</v>
      </c>
      <c r="J168" s="21" t="s">
        <v>126</v>
      </c>
      <c r="K168" s="24" t="s">
        <v>552</v>
      </c>
      <c r="L168" s="65">
        <v>8</v>
      </c>
      <c r="M168" s="66" t="s">
        <v>553</v>
      </c>
    </row>
    <row r="169" spans="1:13" s="68" customFormat="1" x14ac:dyDescent="0.25">
      <c r="A169" s="35">
        <v>163</v>
      </c>
      <c r="B169" s="36">
        <v>59</v>
      </c>
      <c r="C169" s="15" t="s">
        <v>554</v>
      </c>
      <c r="D169" s="21" t="s">
        <v>230</v>
      </c>
      <c r="E169" s="21" t="s">
        <v>543</v>
      </c>
      <c r="F169" s="64">
        <f t="shared" si="8"/>
        <v>95.085679923351421</v>
      </c>
      <c r="G169" s="64">
        <f t="shared" si="9"/>
        <v>59.834960220970508</v>
      </c>
      <c r="H169" s="64">
        <f>471.306/13.37011</f>
        <v>35.250719702380906</v>
      </c>
      <c r="I169" s="64">
        <v>800</v>
      </c>
      <c r="J169" s="21" t="s">
        <v>126</v>
      </c>
      <c r="K169" s="24" t="s">
        <v>555</v>
      </c>
      <c r="L169" s="65">
        <v>3</v>
      </c>
      <c r="M169" s="66" t="s">
        <v>556</v>
      </c>
    </row>
    <row r="170" spans="1:13" s="68" customFormat="1" x14ac:dyDescent="0.25">
      <c r="A170" s="35">
        <v>164</v>
      </c>
      <c r="B170" s="36">
        <v>60</v>
      </c>
      <c r="C170" s="15" t="s">
        <v>557</v>
      </c>
      <c r="D170" s="21" t="s">
        <v>14</v>
      </c>
      <c r="E170" s="21" t="s">
        <v>558</v>
      </c>
      <c r="F170" s="64">
        <f t="shared" si="8"/>
        <v>80.777196298310187</v>
      </c>
      <c r="G170" s="64">
        <f t="shared" si="9"/>
        <v>56.095275207159851</v>
      </c>
      <c r="H170" s="64">
        <f>330/13.37011</f>
        <v>24.681921091150333</v>
      </c>
      <c r="I170" s="64">
        <v>750</v>
      </c>
      <c r="J170" s="16" t="s">
        <v>22</v>
      </c>
      <c r="K170" s="24" t="s">
        <v>559</v>
      </c>
      <c r="L170" s="65">
        <v>8</v>
      </c>
      <c r="M170" s="66" t="s">
        <v>560</v>
      </c>
    </row>
    <row r="171" spans="1:13" s="68" customFormat="1" x14ac:dyDescent="0.25">
      <c r="A171" s="35">
        <v>165</v>
      </c>
      <c r="B171" s="36">
        <v>61</v>
      </c>
      <c r="C171" s="15" t="s">
        <v>561</v>
      </c>
      <c r="D171" s="21" t="s">
        <v>235</v>
      </c>
      <c r="E171" s="21" t="s">
        <v>562</v>
      </c>
      <c r="F171" s="64">
        <f t="shared" si="8"/>
        <v>233.35634486178498</v>
      </c>
      <c r="G171" s="64">
        <f t="shared" si="9"/>
        <v>149.58740055242626</v>
      </c>
      <c r="H171" s="64">
        <f>1120/13.37011</f>
        <v>83.768944309358716</v>
      </c>
      <c r="I171" s="64">
        <v>2000</v>
      </c>
      <c r="J171" s="21" t="s">
        <v>16</v>
      </c>
      <c r="K171" s="24" t="s">
        <v>563</v>
      </c>
      <c r="L171" s="65">
        <v>4</v>
      </c>
      <c r="M171" s="66" t="s">
        <v>564</v>
      </c>
    </row>
    <row r="172" spans="1:13" s="68" customFormat="1" ht="30" x14ac:dyDescent="0.25">
      <c r="A172" s="35">
        <v>166</v>
      </c>
      <c r="B172" s="36">
        <v>62</v>
      </c>
      <c r="C172" s="15" t="s">
        <v>565</v>
      </c>
      <c r="D172" s="21" t="s">
        <v>77</v>
      </c>
      <c r="E172" s="21" t="s">
        <v>566</v>
      </c>
      <c r="F172" s="64">
        <f t="shared" si="8"/>
        <v>238.96587238250098</v>
      </c>
      <c r="G172" s="64">
        <f t="shared" si="9"/>
        <v>41.737554889226793</v>
      </c>
      <c r="H172" s="64">
        <f>2636.9643/13.37011</f>
        <v>197.22831749327418</v>
      </c>
      <c r="I172" s="64">
        <v>558.03570000000002</v>
      </c>
      <c r="J172" s="21" t="s">
        <v>28</v>
      </c>
      <c r="K172" s="24" t="s">
        <v>567</v>
      </c>
      <c r="L172" s="65">
        <v>10</v>
      </c>
      <c r="M172" s="66" t="s">
        <v>568</v>
      </c>
    </row>
    <row r="173" spans="1:13" s="67" customFormat="1" ht="30" x14ac:dyDescent="0.25">
      <c r="A173" s="35">
        <v>167</v>
      </c>
      <c r="B173" s="14">
        <v>63</v>
      </c>
      <c r="C173" s="15" t="s">
        <v>569</v>
      </c>
      <c r="D173" s="21" t="s">
        <v>253</v>
      </c>
      <c r="E173" s="21" t="s">
        <v>570</v>
      </c>
      <c r="F173" s="64">
        <f t="shared" si="8"/>
        <v>5706.0113940723004</v>
      </c>
      <c r="G173" s="64">
        <f t="shared" si="9"/>
        <v>957.35936353552813</v>
      </c>
      <c r="H173" s="64">
        <f>63490/13.37011</f>
        <v>4748.6520305367721</v>
      </c>
      <c r="I173" s="64">
        <v>12800</v>
      </c>
      <c r="J173" s="21" t="s">
        <v>571</v>
      </c>
      <c r="K173" s="21" t="s">
        <v>572</v>
      </c>
      <c r="L173" s="65">
        <v>0</v>
      </c>
      <c r="M173" s="66" t="s">
        <v>573</v>
      </c>
    </row>
    <row r="174" spans="1:13" s="67" customFormat="1" x14ac:dyDescent="0.25">
      <c r="A174" s="35">
        <v>168</v>
      </c>
      <c r="B174" s="36">
        <v>64</v>
      </c>
      <c r="C174" s="15" t="s">
        <v>574</v>
      </c>
      <c r="D174" s="21" t="s">
        <v>20</v>
      </c>
      <c r="E174" s="21" t="s">
        <v>406</v>
      </c>
      <c r="F174" s="64">
        <f t="shared" si="8"/>
        <v>160.15874214946624</v>
      </c>
      <c r="G174" s="64">
        <f t="shared" si="9"/>
        <v>112.1905504143197</v>
      </c>
      <c r="H174" s="64">
        <f>641.34/13.37011</f>
        <v>47.968191735146533</v>
      </c>
      <c r="I174" s="64">
        <v>1500</v>
      </c>
      <c r="J174" s="16" t="s">
        <v>22</v>
      </c>
      <c r="K174" s="21" t="s">
        <v>575</v>
      </c>
      <c r="L174" s="65">
        <v>3</v>
      </c>
      <c r="M174" s="66" t="s">
        <v>576</v>
      </c>
    </row>
    <row r="175" spans="1:13" s="67" customFormat="1" ht="30" x14ac:dyDescent="0.25">
      <c r="A175" s="35">
        <v>169</v>
      </c>
      <c r="B175" s="36">
        <v>65</v>
      </c>
      <c r="C175" s="15" t="s">
        <v>577</v>
      </c>
      <c r="D175" s="21" t="s">
        <v>48</v>
      </c>
      <c r="E175" s="21" t="s">
        <v>578</v>
      </c>
      <c r="F175" s="64">
        <f t="shared" si="8"/>
        <v>53.851464198873458</v>
      </c>
      <c r="G175" s="64">
        <f t="shared" si="9"/>
        <v>37.396850138106565</v>
      </c>
      <c r="H175" s="64">
        <f>220/13.37011</f>
        <v>16.45461406076689</v>
      </c>
      <c r="I175" s="64">
        <v>500</v>
      </c>
      <c r="J175" s="16" t="s">
        <v>22</v>
      </c>
      <c r="K175" s="21" t="s">
        <v>579</v>
      </c>
      <c r="L175" s="65">
        <v>4</v>
      </c>
      <c r="M175" s="66" t="s">
        <v>580</v>
      </c>
    </row>
    <row r="176" spans="1:13" s="67" customFormat="1" ht="45" x14ac:dyDescent="0.25">
      <c r="A176" s="35">
        <v>170</v>
      </c>
      <c r="B176" s="36">
        <v>66</v>
      </c>
      <c r="C176" s="15" t="s">
        <v>581</v>
      </c>
      <c r="D176" s="21" t="s">
        <v>32</v>
      </c>
      <c r="E176" s="21" t="s">
        <v>582</v>
      </c>
      <c r="F176" s="64">
        <f t="shared" si="8"/>
        <v>2488.5617021849484</v>
      </c>
      <c r="G176" s="64">
        <f t="shared" si="9"/>
        <v>194.46362071815415</v>
      </c>
      <c r="H176" s="64">
        <f>30672.3437/13.37011</f>
        <v>2294.0980814667942</v>
      </c>
      <c r="I176" s="64">
        <v>2600</v>
      </c>
      <c r="J176" s="16" t="s">
        <v>571</v>
      </c>
      <c r="K176" s="21" t="s">
        <v>583</v>
      </c>
      <c r="L176" s="65">
        <v>16</v>
      </c>
      <c r="M176" s="66" t="s">
        <v>584</v>
      </c>
    </row>
    <row r="177" spans="1:13" s="67" customFormat="1" ht="30" x14ac:dyDescent="0.25">
      <c r="A177" s="35">
        <v>171</v>
      </c>
      <c r="B177" s="36">
        <v>67</v>
      </c>
      <c r="C177" s="15" t="s">
        <v>585</v>
      </c>
      <c r="D177" s="21" t="s">
        <v>230</v>
      </c>
      <c r="E177" s="21" t="s">
        <v>586</v>
      </c>
      <c r="F177" s="64">
        <f t="shared" si="8"/>
        <v>192.99035684822337</v>
      </c>
      <c r="G177" s="64">
        <f t="shared" si="9"/>
        <v>134.62866049718363</v>
      </c>
      <c r="H177" s="64">
        <f>780.3023/13.37011</f>
        <v>58.36169635103974</v>
      </c>
      <c r="I177" s="64">
        <v>1800</v>
      </c>
      <c r="J177" s="21" t="s">
        <v>126</v>
      </c>
      <c r="K177" s="21" t="s">
        <v>587</v>
      </c>
      <c r="L177" s="65">
        <v>5</v>
      </c>
      <c r="M177" s="66" t="s">
        <v>588</v>
      </c>
    </row>
    <row r="178" spans="1:13" s="67" customFormat="1" ht="45" x14ac:dyDescent="0.25">
      <c r="A178" s="35">
        <v>172</v>
      </c>
      <c r="B178" s="36">
        <v>68</v>
      </c>
      <c r="C178" s="15" t="s">
        <v>589</v>
      </c>
      <c r="D178" s="21" t="s">
        <v>20</v>
      </c>
      <c r="E178" s="21" t="s">
        <v>21</v>
      </c>
      <c r="F178" s="64">
        <f t="shared" si="8"/>
        <v>216.90173080101806</v>
      </c>
      <c r="G178" s="64">
        <f t="shared" si="9"/>
        <v>149.58740055242626</v>
      </c>
      <c r="H178" s="64">
        <f>900/13.37011</f>
        <v>67.314330248591816</v>
      </c>
      <c r="I178" s="64">
        <v>2000</v>
      </c>
      <c r="J178" s="21" t="s">
        <v>16</v>
      </c>
      <c r="K178" s="21" t="s">
        <v>590</v>
      </c>
      <c r="L178" s="65">
        <v>15</v>
      </c>
      <c r="M178" s="66" t="s">
        <v>591</v>
      </c>
    </row>
    <row r="179" spans="1:13" s="72" customFormat="1" x14ac:dyDescent="0.2">
      <c r="A179" s="13"/>
      <c r="B179" s="69"/>
      <c r="C179" s="32" t="s">
        <v>362</v>
      </c>
      <c r="D179" s="70"/>
      <c r="E179" s="70"/>
      <c r="F179" s="33">
        <f>SUM(F111:F178)</f>
        <v>38411.435705660144</v>
      </c>
      <c r="G179" s="33">
        <f>SUM(G111:G178)</f>
        <v>16491.366887190092</v>
      </c>
      <c r="H179" s="33">
        <f>SUM(H111:H178)</f>
        <v>21920.068818470048</v>
      </c>
      <c r="I179" s="33">
        <f>SUM(I111:I178)</f>
        <v>194142.12141399999</v>
      </c>
      <c r="J179" s="33"/>
      <c r="K179" s="33"/>
      <c r="L179" s="71">
        <f>SUM(L111:L178)</f>
        <v>837</v>
      </c>
      <c r="M179" s="33"/>
    </row>
    <row r="180" spans="1:13" s="79" customFormat="1" x14ac:dyDescent="0.2">
      <c r="A180" s="13"/>
      <c r="B180" s="73"/>
      <c r="C180" s="74" t="s">
        <v>363</v>
      </c>
      <c r="D180" s="11"/>
      <c r="E180" s="11"/>
      <c r="F180" s="75"/>
      <c r="G180" s="75">
        <f>+G110-G179</f>
        <v>10508.633112809908</v>
      </c>
      <c r="H180" s="75"/>
      <c r="I180" s="75">
        <f>+I110-I179</f>
        <v>151134.71458600002</v>
      </c>
      <c r="J180" s="76"/>
      <c r="K180" s="11"/>
      <c r="L180" s="77"/>
      <c r="M180" s="78"/>
    </row>
    <row r="181" spans="1:13" s="79" customFormat="1" x14ac:dyDescent="0.2">
      <c r="A181" s="45"/>
      <c r="B181" s="80"/>
      <c r="C181" s="81" t="s">
        <v>592</v>
      </c>
      <c r="D181" s="81"/>
      <c r="E181" s="82"/>
      <c r="F181" s="83"/>
      <c r="G181" s="83">
        <f>8000+4900</f>
        <v>12900</v>
      </c>
      <c r="H181" s="83"/>
      <c r="I181" s="83">
        <f>87712+71785</f>
        <v>159497</v>
      </c>
      <c r="J181" s="84"/>
      <c r="K181" s="82"/>
      <c r="L181" s="85"/>
      <c r="M181" s="86"/>
    </row>
    <row r="182" spans="1:13" s="61" customFormat="1" ht="64.5" customHeight="1" x14ac:dyDescent="0.25">
      <c r="A182" s="87">
        <v>173</v>
      </c>
      <c r="B182" s="56">
        <v>1</v>
      </c>
      <c r="C182" s="57" t="s">
        <v>593</v>
      </c>
      <c r="D182" s="25" t="s">
        <v>26</v>
      </c>
      <c r="E182" s="24" t="s">
        <v>66</v>
      </c>
      <c r="F182" s="58">
        <f t="shared" ref="F182:F210" si="10">+G182+H182</f>
        <v>98.596728198294556</v>
      </c>
      <c r="G182" s="58">
        <f t="shared" ref="G182:G210" si="11">+I182/10.964</f>
        <v>72.327617657789119</v>
      </c>
      <c r="H182" s="58">
        <v>26.26911054050543</v>
      </c>
      <c r="I182" s="58">
        <v>793</v>
      </c>
      <c r="J182" s="24" t="s">
        <v>377</v>
      </c>
      <c r="K182" s="24" t="s">
        <v>594</v>
      </c>
      <c r="L182" s="59">
        <v>3</v>
      </c>
      <c r="M182" s="60" t="s">
        <v>595</v>
      </c>
    </row>
    <row r="183" spans="1:13" s="61" customFormat="1" x14ac:dyDescent="0.25">
      <c r="A183" s="87">
        <v>174</v>
      </c>
      <c r="B183" s="56">
        <v>2</v>
      </c>
      <c r="C183" s="57" t="s">
        <v>596</v>
      </c>
      <c r="D183" s="24" t="s">
        <v>20</v>
      </c>
      <c r="E183" s="24" t="s">
        <v>376</v>
      </c>
      <c r="F183" s="58">
        <f t="shared" si="10"/>
        <v>129.51477562933235</v>
      </c>
      <c r="G183" s="58">
        <f t="shared" si="11"/>
        <v>91.207588471360808</v>
      </c>
      <c r="H183" s="58">
        <v>38.307187157971541</v>
      </c>
      <c r="I183" s="58">
        <v>1000</v>
      </c>
      <c r="J183" s="16" t="s">
        <v>22</v>
      </c>
      <c r="K183" s="24" t="s">
        <v>597</v>
      </c>
      <c r="L183" s="59">
        <v>5</v>
      </c>
      <c r="M183" s="60" t="s">
        <v>598</v>
      </c>
    </row>
    <row r="184" spans="1:13" s="61" customFormat="1" x14ac:dyDescent="0.25">
      <c r="A184" s="87">
        <v>175</v>
      </c>
      <c r="B184" s="56">
        <v>3</v>
      </c>
      <c r="C184" s="57" t="s">
        <v>599</v>
      </c>
      <c r="D184" s="24" t="s">
        <v>20</v>
      </c>
      <c r="E184" s="24" t="s">
        <v>600</v>
      </c>
      <c r="F184" s="58">
        <f t="shared" si="10"/>
        <v>300.98504195549071</v>
      </c>
      <c r="G184" s="58">
        <f t="shared" si="11"/>
        <v>209.77745348412986</v>
      </c>
      <c r="H184" s="58">
        <f>1000000/10964</f>
        <v>91.207588471360822</v>
      </c>
      <c r="I184" s="58">
        <v>2300</v>
      </c>
      <c r="J184" s="24" t="s">
        <v>22</v>
      </c>
      <c r="K184" s="24" t="s">
        <v>601</v>
      </c>
      <c r="L184" s="59">
        <v>10</v>
      </c>
      <c r="M184" s="60" t="s">
        <v>602</v>
      </c>
    </row>
    <row r="185" spans="1:13" s="61" customFormat="1" ht="60" x14ac:dyDescent="0.25">
      <c r="A185" s="87">
        <v>176</v>
      </c>
      <c r="B185" s="56">
        <v>4</v>
      </c>
      <c r="C185" s="57" t="s">
        <v>603</v>
      </c>
      <c r="D185" s="24" t="s">
        <v>20</v>
      </c>
      <c r="E185" s="24" t="s">
        <v>21</v>
      </c>
      <c r="F185" s="58">
        <f t="shared" si="10"/>
        <v>130.72872126960962</v>
      </c>
      <c r="G185" s="58">
        <f t="shared" si="11"/>
        <v>91.207588471360808</v>
      </c>
      <c r="H185" s="58">
        <f>433309.7/10964</f>
        <v>39.521132798248814</v>
      </c>
      <c r="I185" s="58">
        <v>1000</v>
      </c>
      <c r="J185" s="24" t="s">
        <v>122</v>
      </c>
      <c r="K185" s="24" t="s">
        <v>604</v>
      </c>
      <c r="L185" s="59">
        <v>12</v>
      </c>
      <c r="M185" s="60" t="s">
        <v>605</v>
      </c>
    </row>
    <row r="186" spans="1:13" s="61" customFormat="1" x14ac:dyDescent="0.25">
      <c r="A186" s="87">
        <v>177</v>
      </c>
      <c r="B186" s="56">
        <v>5</v>
      </c>
      <c r="C186" s="57" t="s">
        <v>606</v>
      </c>
      <c r="D186" s="24" t="s">
        <v>20</v>
      </c>
      <c r="E186" s="24" t="s">
        <v>40</v>
      </c>
      <c r="F186" s="58">
        <f t="shared" si="10"/>
        <v>278.00510762495435</v>
      </c>
      <c r="G186" s="58">
        <f t="shared" si="11"/>
        <v>182.41517694272162</v>
      </c>
      <c r="H186" s="58">
        <f>1048048/10964</f>
        <v>95.589930682232762</v>
      </c>
      <c r="I186" s="58">
        <v>2000</v>
      </c>
      <c r="J186" s="24" t="s">
        <v>22</v>
      </c>
      <c r="K186" s="24" t="s">
        <v>607</v>
      </c>
      <c r="L186" s="59">
        <v>6</v>
      </c>
      <c r="M186" s="60" t="s">
        <v>608</v>
      </c>
    </row>
    <row r="187" spans="1:13" s="61" customFormat="1" ht="30" x14ac:dyDescent="0.25">
      <c r="A187" s="87">
        <v>178</v>
      </c>
      <c r="B187" s="56">
        <v>6</v>
      </c>
      <c r="C187" s="57" t="s">
        <v>609</v>
      </c>
      <c r="D187" s="24" t="s">
        <v>14</v>
      </c>
      <c r="E187" s="24" t="s">
        <v>303</v>
      </c>
      <c r="F187" s="58">
        <f t="shared" si="10"/>
        <v>524.44363371032466</v>
      </c>
      <c r="G187" s="58">
        <f t="shared" si="11"/>
        <v>364.83035388544323</v>
      </c>
      <c r="H187" s="58">
        <f>1750000/10964</f>
        <v>159.61327982488143</v>
      </c>
      <c r="I187" s="58">
        <v>4000</v>
      </c>
      <c r="J187" s="25" t="s">
        <v>16</v>
      </c>
      <c r="K187" s="24" t="s">
        <v>610</v>
      </c>
      <c r="L187" s="59">
        <v>12</v>
      </c>
      <c r="M187" s="60" t="s">
        <v>611</v>
      </c>
    </row>
    <row r="188" spans="1:13" s="67" customFormat="1" ht="30" x14ac:dyDescent="0.25">
      <c r="A188" s="87">
        <v>179</v>
      </c>
      <c r="B188" s="56">
        <v>7</v>
      </c>
      <c r="C188" s="23" t="s">
        <v>612</v>
      </c>
      <c r="D188" s="21" t="s">
        <v>14</v>
      </c>
      <c r="E188" s="21" t="s">
        <v>133</v>
      </c>
      <c r="F188" s="64">
        <f t="shared" si="10"/>
        <v>135.89930682232762</v>
      </c>
      <c r="G188" s="58">
        <f t="shared" si="11"/>
        <v>93.031740240788025</v>
      </c>
      <c r="H188" s="64">
        <f>470000/10964</f>
        <v>42.867566581539585</v>
      </c>
      <c r="I188" s="64">
        <v>1020</v>
      </c>
      <c r="J188" s="16" t="s">
        <v>16</v>
      </c>
      <c r="K188" s="21" t="s">
        <v>613</v>
      </c>
      <c r="L188" s="65">
        <v>10</v>
      </c>
      <c r="M188" s="66" t="s">
        <v>614</v>
      </c>
    </row>
    <row r="189" spans="1:13" s="61" customFormat="1" x14ac:dyDescent="0.25">
      <c r="A189" s="87">
        <v>180</v>
      </c>
      <c r="B189" s="56">
        <v>8</v>
      </c>
      <c r="C189" s="57" t="s">
        <v>615</v>
      </c>
      <c r="D189" s="24" t="s">
        <v>225</v>
      </c>
      <c r="E189" s="24" t="s">
        <v>616</v>
      </c>
      <c r="F189" s="58">
        <f t="shared" si="10"/>
        <v>143.45328347318497</v>
      </c>
      <c r="G189" s="58">
        <f t="shared" si="11"/>
        <v>100</v>
      </c>
      <c r="H189" s="58">
        <v>43.453283473184968</v>
      </c>
      <c r="I189" s="58">
        <v>1096.4000000000001</v>
      </c>
      <c r="J189" s="25" t="s">
        <v>28</v>
      </c>
      <c r="K189" s="24" t="s">
        <v>617</v>
      </c>
      <c r="L189" s="59">
        <v>8</v>
      </c>
      <c r="M189" s="60" t="s">
        <v>618</v>
      </c>
    </row>
    <row r="190" spans="1:13" s="67" customFormat="1" ht="30" x14ac:dyDescent="0.25">
      <c r="A190" s="87">
        <v>181</v>
      </c>
      <c r="B190" s="56">
        <v>9</v>
      </c>
      <c r="C190" s="23" t="s">
        <v>619</v>
      </c>
      <c r="D190" s="21" t="s">
        <v>14</v>
      </c>
      <c r="E190" s="21" t="s">
        <v>620</v>
      </c>
      <c r="F190" s="64">
        <f t="shared" si="10"/>
        <v>1003.283473184969</v>
      </c>
      <c r="G190" s="58">
        <f t="shared" si="11"/>
        <v>702.2984312294783</v>
      </c>
      <c r="H190" s="64">
        <f>3300000/10964</f>
        <v>300.98504195549071</v>
      </c>
      <c r="I190" s="64">
        <v>7700</v>
      </c>
      <c r="J190" s="16" t="s">
        <v>16</v>
      </c>
      <c r="K190" s="21" t="s">
        <v>621</v>
      </c>
      <c r="L190" s="65">
        <v>10</v>
      </c>
      <c r="M190" s="66" t="s">
        <v>622</v>
      </c>
    </row>
    <row r="191" spans="1:13" s="61" customFormat="1" ht="30" x14ac:dyDescent="0.25">
      <c r="A191" s="87">
        <v>182</v>
      </c>
      <c r="B191" s="56">
        <v>10</v>
      </c>
      <c r="C191" s="57" t="s">
        <v>623</v>
      </c>
      <c r="D191" s="24" t="s">
        <v>14</v>
      </c>
      <c r="E191" s="24" t="s">
        <v>620</v>
      </c>
      <c r="F191" s="58">
        <f t="shared" si="10"/>
        <v>1003.283473184969</v>
      </c>
      <c r="G191" s="58">
        <f t="shared" si="11"/>
        <v>702.2984312294783</v>
      </c>
      <c r="H191" s="58">
        <f>3300000/10964</f>
        <v>300.98504195549071</v>
      </c>
      <c r="I191" s="58">
        <v>7700</v>
      </c>
      <c r="J191" s="25" t="s">
        <v>16</v>
      </c>
      <c r="K191" s="24" t="s">
        <v>621</v>
      </c>
      <c r="L191" s="59">
        <v>10</v>
      </c>
      <c r="M191" s="60" t="s">
        <v>624</v>
      </c>
    </row>
    <row r="192" spans="1:13" s="61" customFormat="1" x14ac:dyDescent="0.25">
      <c r="A192" s="87">
        <v>183</v>
      </c>
      <c r="B192" s="56">
        <v>11</v>
      </c>
      <c r="C192" s="57" t="s">
        <v>625</v>
      </c>
      <c r="D192" s="24" t="s">
        <v>77</v>
      </c>
      <c r="E192" s="24" t="s">
        <v>137</v>
      </c>
      <c r="F192" s="58">
        <f t="shared" si="10"/>
        <v>869.34830353885434</v>
      </c>
      <c r="G192" s="58">
        <f t="shared" si="11"/>
        <v>182.41517694272162</v>
      </c>
      <c r="H192" s="58">
        <f>7531534.8/10964</f>
        <v>686.93312659613275</v>
      </c>
      <c r="I192" s="58">
        <v>2000</v>
      </c>
      <c r="J192" s="25" t="s">
        <v>16</v>
      </c>
      <c r="K192" s="24" t="s">
        <v>626</v>
      </c>
      <c r="L192" s="59">
        <v>7</v>
      </c>
      <c r="M192" s="60" t="s">
        <v>627</v>
      </c>
    </row>
    <row r="193" spans="1:13" s="61" customFormat="1" ht="75" x14ac:dyDescent="0.25">
      <c r="A193" s="87">
        <v>184</v>
      </c>
      <c r="B193" s="56">
        <v>12</v>
      </c>
      <c r="C193" s="57" t="s">
        <v>628</v>
      </c>
      <c r="D193" s="24" t="s">
        <v>14</v>
      </c>
      <c r="E193" s="24" t="s">
        <v>133</v>
      </c>
      <c r="F193" s="58">
        <f t="shared" si="10"/>
        <v>1429.0404961692811</v>
      </c>
      <c r="G193" s="58">
        <f t="shared" si="11"/>
        <v>994.16271433783288</v>
      </c>
      <c r="H193" s="58">
        <f>4768000/10964</f>
        <v>434.87778183144837</v>
      </c>
      <c r="I193" s="58">
        <v>10900</v>
      </c>
      <c r="J193" s="25" t="s">
        <v>16</v>
      </c>
      <c r="K193" s="24" t="s">
        <v>629</v>
      </c>
      <c r="L193" s="59">
        <v>18</v>
      </c>
      <c r="M193" s="60" t="s">
        <v>630</v>
      </c>
    </row>
    <row r="194" spans="1:13" s="61" customFormat="1" ht="45" x14ac:dyDescent="0.25">
      <c r="A194" s="87">
        <v>185</v>
      </c>
      <c r="B194" s="56">
        <v>13</v>
      </c>
      <c r="C194" s="57" t="s">
        <v>631</v>
      </c>
      <c r="D194" s="24" t="s">
        <v>14</v>
      </c>
      <c r="E194" s="24" t="s">
        <v>620</v>
      </c>
      <c r="F194" s="58">
        <f t="shared" si="10"/>
        <v>746.66135534476462</v>
      </c>
      <c r="G194" s="58">
        <f t="shared" si="11"/>
        <v>453.30171470266322</v>
      </c>
      <c r="H194" s="58">
        <f>3216395.1/10964</f>
        <v>293.35964064210145</v>
      </c>
      <c r="I194" s="58">
        <v>4970</v>
      </c>
      <c r="J194" s="25" t="s">
        <v>16</v>
      </c>
      <c r="K194" s="24" t="s">
        <v>632</v>
      </c>
      <c r="L194" s="59">
        <v>20</v>
      </c>
      <c r="M194" s="60" t="s">
        <v>633</v>
      </c>
    </row>
    <row r="195" spans="1:13" s="61" customFormat="1" ht="30" x14ac:dyDescent="0.25">
      <c r="A195" s="87">
        <v>186</v>
      </c>
      <c r="B195" s="56">
        <v>14</v>
      </c>
      <c r="C195" s="57" t="s">
        <v>634</v>
      </c>
      <c r="D195" s="24" t="s">
        <v>14</v>
      </c>
      <c r="E195" s="24" t="s">
        <v>133</v>
      </c>
      <c r="F195" s="58">
        <f t="shared" si="10"/>
        <v>650.71855162349516</v>
      </c>
      <c r="G195" s="58">
        <f t="shared" si="11"/>
        <v>454.21379058737688</v>
      </c>
      <c r="H195" s="58">
        <f>2154478.2/10964</f>
        <v>196.50476103611823</v>
      </c>
      <c r="I195" s="58">
        <v>4980</v>
      </c>
      <c r="J195" s="25" t="s">
        <v>16</v>
      </c>
      <c r="K195" s="24" t="s">
        <v>635</v>
      </c>
      <c r="L195" s="59">
        <v>6</v>
      </c>
      <c r="M195" s="60" t="s">
        <v>636</v>
      </c>
    </row>
    <row r="196" spans="1:13" s="61" customFormat="1" x14ac:dyDescent="0.25">
      <c r="A196" s="87">
        <v>187</v>
      </c>
      <c r="B196" s="56">
        <v>15</v>
      </c>
      <c r="C196" s="57" t="s">
        <v>637</v>
      </c>
      <c r="D196" s="24" t="s">
        <v>26</v>
      </c>
      <c r="E196" s="25" t="s">
        <v>81</v>
      </c>
      <c r="F196" s="58">
        <f t="shared" si="10"/>
        <v>177.78926760306456</v>
      </c>
      <c r="G196" s="58">
        <f t="shared" si="11"/>
        <v>95.95038307187157</v>
      </c>
      <c r="H196" s="58">
        <f>897281.53/10964</f>
        <v>81.838884531193003</v>
      </c>
      <c r="I196" s="58">
        <v>1052</v>
      </c>
      <c r="J196" s="16" t="s">
        <v>22</v>
      </c>
      <c r="K196" s="24" t="s">
        <v>638</v>
      </c>
      <c r="L196" s="59">
        <v>10</v>
      </c>
      <c r="M196" s="60" t="s">
        <v>639</v>
      </c>
    </row>
    <row r="197" spans="1:13" s="61" customFormat="1" x14ac:dyDescent="0.25">
      <c r="A197" s="87">
        <v>188</v>
      </c>
      <c r="B197" s="56">
        <v>16</v>
      </c>
      <c r="C197" s="57" t="s">
        <v>640</v>
      </c>
      <c r="D197" s="24" t="s">
        <v>235</v>
      </c>
      <c r="E197" s="25" t="s">
        <v>641</v>
      </c>
      <c r="F197" s="58">
        <f t="shared" si="10"/>
        <v>136.81138270704113</v>
      </c>
      <c r="G197" s="58">
        <f t="shared" si="11"/>
        <v>82.086829624224734</v>
      </c>
      <c r="H197" s="58">
        <v>54.724553082816399</v>
      </c>
      <c r="I197" s="58">
        <v>900</v>
      </c>
      <c r="J197" s="16" t="s">
        <v>126</v>
      </c>
      <c r="K197" s="24" t="s">
        <v>642</v>
      </c>
      <c r="L197" s="59">
        <v>5</v>
      </c>
      <c r="M197" s="60" t="s">
        <v>643</v>
      </c>
    </row>
    <row r="198" spans="1:13" s="61" customFormat="1" x14ac:dyDescent="0.25">
      <c r="A198" s="87">
        <v>189</v>
      </c>
      <c r="B198" s="56">
        <v>17</v>
      </c>
      <c r="C198" s="57" t="s">
        <v>644</v>
      </c>
      <c r="D198" s="24" t="s">
        <v>441</v>
      </c>
      <c r="E198" s="25" t="s">
        <v>645</v>
      </c>
      <c r="F198" s="58">
        <f t="shared" si="10"/>
        <v>280.74447792776357</v>
      </c>
      <c r="G198" s="58">
        <f t="shared" si="11"/>
        <v>174.86090842758117</v>
      </c>
      <c r="H198" s="58">
        <f>1160.907456/10.964</f>
        <v>105.8835695001824</v>
      </c>
      <c r="I198" s="58">
        <v>1917.175</v>
      </c>
      <c r="J198" s="25" t="s">
        <v>22</v>
      </c>
      <c r="K198" s="24" t="s">
        <v>646</v>
      </c>
      <c r="L198" s="59">
        <v>15</v>
      </c>
      <c r="M198" s="60" t="s">
        <v>647</v>
      </c>
    </row>
    <row r="199" spans="1:13" s="61" customFormat="1" x14ac:dyDescent="0.25">
      <c r="A199" s="87">
        <v>190</v>
      </c>
      <c r="B199" s="56">
        <v>18</v>
      </c>
      <c r="C199" s="57" t="s">
        <v>648</v>
      </c>
      <c r="D199" s="24" t="s">
        <v>14</v>
      </c>
      <c r="E199" s="25" t="s">
        <v>649</v>
      </c>
      <c r="F199" s="58">
        <f t="shared" si="10"/>
        <v>132.25100328347318</v>
      </c>
      <c r="G199" s="58">
        <f t="shared" si="11"/>
        <v>91.207588471360808</v>
      </c>
      <c r="H199" s="58">
        <f>450/10.964</f>
        <v>41.043414812112367</v>
      </c>
      <c r="I199" s="58">
        <v>1000</v>
      </c>
      <c r="J199" s="25" t="s">
        <v>16</v>
      </c>
      <c r="K199" s="24" t="s">
        <v>650</v>
      </c>
      <c r="L199" s="59">
        <v>16</v>
      </c>
      <c r="M199" s="60" t="s">
        <v>651</v>
      </c>
    </row>
    <row r="200" spans="1:13" s="61" customFormat="1" ht="30" x14ac:dyDescent="0.25">
      <c r="A200" s="87">
        <v>191</v>
      </c>
      <c r="B200" s="56">
        <v>19</v>
      </c>
      <c r="C200" s="57" t="s">
        <v>652</v>
      </c>
      <c r="D200" s="24" t="s">
        <v>48</v>
      </c>
      <c r="E200" s="25" t="s">
        <v>49</v>
      </c>
      <c r="F200" s="58">
        <f t="shared" si="10"/>
        <v>78.438526085370299</v>
      </c>
      <c r="G200" s="58">
        <f t="shared" si="11"/>
        <v>54.724553082816492</v>
      </c>
      <c r="H200" s="58">
        <f>260/10.964</f>
        <v>23.713973002553811</v>
      </c>
      <c r="I200" s="58">
        <v>600</v>
      </c>
      <c r="J200" s="16" t="s">
        <v>22</v>
      </c>
      <c r="K200" s="24" t="s">
        <v>653</v>
      </c>
      <c r="L200" s="59">
        <v>6</v>
      </c>
      <c r="M200" s="60" t="s">
        <v>654</v>
      </c>
    </row>
    <row r="201" spans="1:13" s="61" customFormat="1" x14ac:dyDescent="0.25">
      <c r="A201" s="87">
        <v>192</v>
      </c>
      <c r="B201" s="56">
        <v>20</v>
      </c>
      <c r="C201" s="57" t="s">
        <v>655</v>
      </c>
      <c r="D201" s="24" t="s">
        <v>225</v>
      </c>
      <c r="E201" s="25" t="s">
        <v>656</v>
      </c>
      <c r="F201" s="58">
        <f t="shared" si="10"/>
        <v>120.07050346588835</v>
      </c>
      <c r="G201" s="58">
        <f t="shared" si="11"/>
        <v>59.284932506384528</v>
      </c>
      <c r="H201" s="58">
        <f>666.453/10.964</f>
        <v>60.785570959503829</v>
      </c>
      <c r="I201" s="58">
        <v>650</v>
      </c>
      <c r="J201" s="16" t="s">
        <v>22</v>
      </c>
      <c r="K201" s="24" t="s">
        <v>657</v>
      </c>
      <c r="L201" s="59">
        <v>23</v>
      </c>
      <c r="M201" s="60" t="s">
        <v>658</v>
      </c>
    </row>
    <row r="202" spans="1:13" s="61" customFormat="1" ht="30" x14ac:dyDescent="0.25">
      <c r="A202" s="87">
        <v>193</v>
      </c>
      <c r="B202" s="56">
        <v>21</v>
      </c>
      <c r="C202" s="57" t="s">
        <v>659</v>
      </c>
      <c r="D202" s="24" t="s">
        <v>230</v>
      </c>
      <c r="E202" s="25" t="s">
        <v>660</v>
      </c>
      <c r="F202" s="58">
        <f t="shared" si="10"/>
        <v>73.695731484859536</v>
      </c>
      <c r="G202" s="58">
        <f t="shared" si="11"/>
        <v>45.603794235680404</v>
      </c>
      <c r="H202" s="58">
        <f>308/10.964</f>
        <v>28.091937249179132</v>
      </c>
      <c r="I202" s="58">
        <v>500</v>
      </c>
      <c r="J202" s="16" t="s">
        <v>22</v>
      </c>
      <c r="K202" s="25" t="s">
        <v>661</v>
      </c>
      <c r="L202" s="59">
        <v>6</v>
      </c>
      <c r="M202" s="60" t="s">
        <v>662</v>
      </c>
    </row>
    <row r="203" spans="1:13" s="61" customFormat="1" ht="30" x14ac:dyDescent="0.25">
      <c r="A203" s="87">
        <v>194</v>
      </c>
      <c r="B203" s="56">
        <v>22</v>
      </c>
      <c r="C203" s="57" t="s">
        <v>663</v>
      </c>
      <c r="D203" s="24" t="s">
        <v>48</v>
      </c>
      <c r="E203" s="25" t="s">
        <v>49</v>
      </c>
      <c r="F203" s="58">
        <f t="shared" si="10"/>
        <v>65.669463699379776</v>
      </c>
      <c r="G203" s="58">
        <f t="shared" si="11"/>
        <v>45.603794235680404</v>
      </c>
      <c r="H203" s="58">
        <f>220/10.964</f>
        <v>20.065669463699379</v>
      </c>
      <c r="I203" s="58">
        <v>500</v>
      </c>
      <c r="J203" s="16" t="s">
        <v>22</v>
      </c>
      <c r="K203" s="25" t="s">
        <v>664</v>
      </c>
      <c r="L203" s="59">
        <v>5</v>
      </c>
      <c r="M203" s="60" t="s">
        <v>665</v>
      </c>
    </row>
    <row r="204" spans="1:13" s="61" customFormat="1" ht="30" x14ac:dyDescent="0.25">
      <c r="A204" s="87">
        <v>195</v>
      </c>
      <c r="B204" s="56">
        <v>23</v>
      </c>
      <c r="C204" s="57" t="s">
        <v>666</v>
      </c>
      <c r="D204" s="24" t="s">
        <v>20</v>
      </c>
      <c r="E204" s="25" t="s">
        <v>667</v>
      </c>
      <c r="F204" s="58">
        <f t="shared" si="10"/>
        <v>95.667365924844944</v>
      </c>
      <c r="G204" s="58">
        <f t="shared" si="11"/>
        <v>63.845311929952572</v>
      </c>
      <c r="H204" s="58">
        <f>348.897/10.964</f>
        <v>31.822053994892372</v>
      </c>
      <c r="I204" s="58">
        <v>700</v>
      </c>
      <c r="J204" s="16" t="s">
        <v>22</v>
      </c>
      <c r="K204" s="25" t="s">
        <v>668</v>
      </c>
      <c r="L204" s="59">
        <v>4</v>
      </c>
      <c r="M204" s="60" t="s">
        <v>669</v>
      </c>
    </row>
    <row r="205" spans="1:13" s="61" customFormat="1" x14ac:dyDescent="0.25">
      <c r="A205" s="87">
        <v>196</v>
      </c>
      <c r="B205" s="56">
        <v>24</v>
      </c>
      <c r="C205" s="57" t="s">
        <v>670</v>
      </c>
      <c r="D205" s="24" t="s">
        <v>20</v>
      </c>
      <c r="E205" s="25" t="s">
        <v>671</v>
      </c>
      <c r="F205" s="58">
        <f t="shared" si="10"/>
        <v>261.01422838380154</v>
      </c>
      <c r="G205" s="58">
        <f t="shared" si="11"/>
        <v>182.41517694272162</v>
      </c>
      <c r="H205" s="58">
        <f>861.76/10.964</f>
        <v>78.599051441079894</v>
      </c>
      <c r="I205" s="58">
        <v>2000</v>
      </c>
      <c r="J205" s="16" t="s">
        <v>22</v>
      </c>
      <c r="K205" s="24" t="s">
        <v>672</v>
      </c>
      <c r="L205" s="59">
        <v>7</v>
      </c>
      <c r="M205" s="60" t="s">
        <v>673</v>
      </c>
    </row>
    <row r="206" spans="1:13" s="61" customFormat="1" ht="30" x14ac:dyDescent="0.25">
      <c r="A206" s="87">
        <v>197</v>
      </c>
      <c r="B206" s="56">
        <v>25</v>
      </c>
      <c r="C206" s="57" t="s">
        <v>674</v>
      </c>
      <c r="D206" s="24" t="s">
        <v>324</v>
      </c>
      <c r="E206" s="25" t="s">
        <v>675</v>
      </c>
      <c r="F206" s="58">
        <f t="shared" si="10"/>
        <v>164.17365924844947</v>
      </c>
      <c r="G206" s="58">
        <f t="shared" si="11"/>
        <v>109.44910616563298</v>
      </c>
      <c r="H206" s="58">
        <f>600/10.964</f>
        <v>54.724553082816492</v>
      </c>
      <c r="I206" s="58">
        <v>1200</v>
      </c>
      <c r="J206" s="16" t="s">
        <v>22</v>
      </c>
      <c r="K206" s="24" t="s">
        <v>676</v>
      </c>
      <c r="L206" s="59">
        <v>6</v>
      </c>
      <c r="M206" s="60" t="s">
        <v>677</v>
      </c>
    </row>
    <row r="207" spans="1:13" s="61" customFormat="1" ht="30" x14ac:dyDescent="0.25">
      <c r="A207" s="87">
        <v>198</v>
      </c>
      <c r="B207" s="56">
        <v>26</v>
      </c>
      <c r="C207" s="57" t="s">
        <v>678</v>
      </c>
      <c r="D207" s="24" t="s">
        <v>225</v>
      </c>
      <c r="E207" s="25" t="s">
        <v>312</v>
      </c>
      <c r="F207" s="58">
        <f t="shared" si="10"/>
        <v>68.405691353520609</v>
      </c>
      <c r="G207" s="58">
        <f t="shared" si="11"/>
        <v>45.603794235680404</v>
      </c>
      <c r="H207" s="58">
        <f>250/10.964</f>
        <v>22.801897117840202</v>
      </c>
      <c r="I207" s="58">
        <v>500</v>
      </c>
      <c r="J207" s="16" t="s">
        <v>22</v>
      </c>
      <c r="K207" s="25" t="s">
        <v>679</v>
      </c>
      <c r="L207" s="59">
        <v>5</v>
      </c>
      <c r="M207" s="60" t="s">
        <v>680</v>
      </c>
    </row>
    <row r="208" spans="1:13" s="61" customFormat="1" ht="30" x14ac:dyDescent="0.25">
      <c r="A208" s="87">
        <v>199</v>
      </c>
      <c r="B208" s="56">
        <v>27</v>
      </c>
      <c r="C208" s="57" t="s">
        <v>681</v>
      </c>
      <c r="D208" s="24" t="s">
        <v>20</v>
      </c>
      <c r="E208" s="25" t="s">
        <v>667</v>
      </c>
      <c r="F208" s="58">
        <f t="shared" si="10"/>
        <v>144.82460780736957</v>
      </c>
      <c r="G208" s="58">
        <f t="shared" si="11"/>
        <v>100.3283473184969</v>
      </c>
      <c r="H208" s="58">
        <f>487.857/10.964</f>
        <v>44.496260488872672</v>
      </c>
      <c r="I208" s="58">
        <v>1100</v>
      </c>
      <c r="J208" s="16" t="s">
        <v>22</v>
      </c>
      <c r="K208" s="25" t="s">
        <v>682</v>
      </c>
      <c r="L208" s="59">
        <v>10</v>
      </c>
      <c r="M208" s="60" t="s">
        <v>683</v>
      </c>
    </row>
    <row r="209" spans="1:13" s="61" customFormat="1" ht="30" x14ac:dyDescent="0.25">
      <c r="A209" s="87">
        <v>200</v>
      </c>
      <c r="B209" s="56">
        <v>28</v>
      </c>
      <c r="C209" s="57" t="s">
        <v>684</v>
      </c>
      <c r="D209" s="24" t="s">
        <v>235</v>
      </c>
      <c r="E209" s="25" t="s">
        <v>641</v>
      </c>
      <c r="F209" s="58">
        <f t="shared" si="10"/>
        <v>121.30609266690988</v>
      </c>
      <c r="G209" s="58">
        <f t="shared" si="11"/>
        <v>46.059832178037212</v>
      </c>
      <c r="H209" s="58">
        <f>825/10.964</f>
        <v>75.246260488872664</v>
      </c>
      <c r="I209" s="58">
        <v>505</v>
      </c>
      <c r="J209" s="16" t="s">
        <v>126</v>
      </c>
      <c r="K209" s="25" t="s">
        <v>685</v>
      </c>
      <c r="L209" s="59">
        <v>5</v>
      </c>
      <c r="M209" s="60" t="s">
        <v>686</v>
      </c>
    </row>
    <row r="210" spans="1:13" s="61" customFormat="1" ht="30" x14ac:dyDescent="0.25">
      <c r="A210" s="87">
        <v>201</v>
      </c>
      <c r="B210" s="56">
        <v>29</v>
      </c>
      <c r="C210" s="57" t="s">
        <v>1374</v>
      </c>
      <c r="D210" s="24" t="s">
        <v>441</v>
      </c>
      <c r="E210" s="25" t="s">
        <v>1375</v>
      </c>
      <c r="F210" s="58">
        <f t="shared" si="10"/>
        <v>391.32673631886172</v>
      </c>
      <c r="G210" s="58">
        <f t="shared" si="11"/>
        <v>273.62276541408244</v>
      </c>
      <c r="H210" s="58">
        <f>1290.506337/10.964</f>
        <v>117.70397090477928</v>
      </c>
      <c r="I210" s="58">
        <v>3000</v>
      </c>
      <c r="J210" s="16" t="s">
        <v>22</v>
      </c>
      <c r="K210" s="25" t="s">
        <v>1376</v>
      </c>
      <c r="L210" s="59">
        <v>18</v>
      </c>
      <c r="M210" s="60" t="s">
        <v>1377</v>
      </c>
    </row>
    <row r="211" spans="1:13" s="79" customFormat="1" ht="14.25" customHeight="1" x14ac:dyDescent="0.2">
      <c r="A211" s="88"/>
      <c r="B211" s="73"/>
      <c r="C211" s="74" t="s">
        <v>362</v>
      </c>
      <c r="D211" s="11"/>
      <c r="E211" s="11"/>
      <c r="F211" s="75">
        <f>SUM(F182:F210)</f>
        <v>9756.1509896904499</v>
      </c>
      <c r="G211" s="75">
        <f>SUM(G182:G210)</f>
        <v>6164.134896023349</v>
      </c>
      <c r="H211" s="75">
        <f>SUM(H182:H210)</f>
        <v>3592.0160936671023</v>
      </c>
      <c r="I211" s="75">
        <f>SUM(I182:I210)</f>
        <v>67583.575000000012</v>
      </c>
      <c r="J211" s="75"/>
      <c r="K211" s="75"/>
      <c r="L211" s="89">
        <f>SUM(L182:L210)</f>
        <v>278</v>
      </c>
      <c r="M211" s="75"/>
    </row>
    <row r="212" spans="1:13" s="79" customFormat="1" ht="14.25" x14ac:dyDescent="0.2">
      <c r="A212" s="88"/>
      <c r="B212" s="73"/>
      <c r="C212" s="74" t="s">
        <v>363</v>
      </c>
      <c r="D212" s="11"/>
      <c r="E212" s="11"/>
      <c r="F212" s="75"/>
      <c r="G212" s="75">
        <f>+G181-G211</f>
        <v>6735.865103976651</v>
      </c>
      <c r="H212" s="75"/>
      <c r="I212" s="75">
        <f>+I181-I211</f>
        <v>91913.424999999988</v>
      </c>
      <c r="J212" s="76"/>
      <c r="K212" s="11"/>
      <c r="L212" s="77"/>
      <c r="M212" s="78"/>
    </row>
    <row r="213" spans="1:13" s="79" customFormat="1" ht="15" customHeight="1" x14ac:dyDescent="0.2">
      <c r="A213" s="90"/>
      <c r="B213" s="80"/>
      <c r="C213" s="81" t="s">
        <v>687</v>
      </c>
      <c r="D213" s="82"/>
      <c r="E213" s="82"/>
      <c r="F213" s="83"/>
      <c r="G213" s="83">
        <f>5000+5000</f>
        <v>10000</v>
      </c>
      <c r="H213" s="91"/>
      <c r="I213" s="83">
        <f>54820+73250</f>
        <v>128070</v>
      </c>
      <c r="J213" s="84"/>
      <c r="K213" s="82"/>
      <c r="L213" s="85"/>
      <c r="M213" s="86"/>
    </row>
    <row r="214" spans="1:13" s="61" customFormat="1" x14ac:dyDescent="0.25">
      <c r="A214" s="87">
        <v>202</v>
      </c>
      <c r="B214" s="56">
        <v>1</v>
      </c>
      <c r="C214" s="57" t="s">
        <v>688</v>
      </c>
      <c r="D214" s="24" t="s">
        <v>32</v>
      </c>
      <c r="E214" s="24" t="s">
        <v>33</v>
      </c>
      <c r="F214" s="58">
        <f t="shared" ref="F214:F263" si="12">+G214+H214</f>
        <v>57.460780736957318</v>
      </c>
      <c r="G214" s="17">
        <f t="shared" ref="G214:G246" si="13">I214/10.964</f>
        <v>33.746807734403504</v>
      </c>
      <c r="H214" s="58">
        <v>23.713973002553814</v>
      </c>
      <c r="I214" s="58">
        <v>370</v>
      </c>
      <c r="J214" s="24" t="s">
        <v>28</v>
      </c>
      <c r="K214" s="24" t="s">
        <v>689</v>
      </c>
      <c r="L214" s="59">
        <v>3</v>
      </c>
      <c r="M214" s="60" t="s">
        <v>690</v>
      </c>
    </row>
    <row r="215" spans="1:13" ht="30" x14ac:dyDescent="0.25">
      <c r="A215" s="87">
        <v>203</v>
      </c>
      <c r="B215" s="56">
        <v>2</v>
      </c>
      <c r="C215" s="54" t="s">
        <v>691</v>
      </c>
      <c r="D215" s="16" t="s">
        <v>69</v>
      </c>
      <c r="E215" s="25" t="s">
        <v>70</v>
      </c>
      <c r="F215" s="38">
        <f t="shared" si="12"/>
        <v>66.581539584093406</v>
      </c>
      <c r="G215" s="17">
        <f t="shared" si="13"/>
        <v>43.779642466253193</v>
      </c>
      <c r="H215" s="38">
        <f>250000/10964</f>
        <v>22.801897117840205</v>
      </c>
      <c r="I215" s="38">
        <v>480</v>
      </c>
      <c r="J215" s="16" t="s">
        <v>22</v>
      </c>
      <c r="K215" s="25" t="s">
        <v>692</v>
      </c>
      <c r="L215" s="42">
        <v>5</v>
      </c>
      <c r="M215" s="43" t="s">
        <v>693</v>
      </c>
    </row>
    <row r="216" spans="1:13" ht="30" x14ac:dyDescent="0.25">
      <c r="A216" s="87">
        <v>204</v>
      </c>
      <c r="B216" s="56">
        <v>3</v>
      </c>
      <c r="C216" s="54" t="s">
        <v>694</v>
      </c>
      <c r="D216" s="25" t="s">
        <v>32</v>
      </c>
      <c r="E216" s="25" t="s">
        <v>695</v>
      </c>
      <c r="F216" s="38">
        <f t="shared" si="12"/>
        <v>91.116380882889459</v>
      </c>
      <c r="G216" s="17">
        <f t="shared" si="13"/>
        <v>63.754104341481209</v>
      </c>
      <c r="H216" s="58">
        <v>27.362276541408249</v>
      </c>
      <c r="I216" s="38">
        <v>699</v>
      </c>
      <c r="J216" s="25" t="s">
        <v>377</v>
      </c>
      <c r="K216" s="25" t="s">
        <v>696</v>
      </c>
      <c r="L216" s="42">
        <v>3</v>
      </c>
      <c r="M216" s="43">
        <v>303680553</v>
      </c>
    </row>
    <row r="217" spans="1:13" ht="30" x14ac:dyDescent="0.25">
      <c r="A217" s="87">
        <v>205</v>
      </c>
      <c r="B217" s="56">
        <v>4</v>
      </c>
      <c r="C217" s="54" t="s">
        <v>697</v>
      </c>
      <c r="D217" s="25" t="s">
        <v>32</v>
      </c>
      <c r="E217" s="25" t="s">
        <v>276</v>
      </c>
      <c r="F217" s="38">
        <f t="shared" si="12"/>
        <v>259.9416271433783</v>
      </c>
      <c r="G217" s="17">
        <f t="shared" si="13"/>
        <v>173.29441809558554</v>
      </c>
      <c r="H217" s="38">
        <f>950000/10964</f>
        <v>86.647209047792771</v>
      </c>
      <c r="I217" s="38">
        <v>1900</v>
      </c>
      <c r="J217" s="25" t="s">
        <v>126</v>
      </c>
      <c r="K217" s="25" t="s">
        <v>698</v>
      </c>
      <c r="L217" s="42">
        <v>7</v>
      </c>
      <c r="M217" s="43" t="s">
        <v>699</v>
      </c>
    </row>
    <row r="218" spans="1:13" ht="30" x14ac:dyDescent="0.25">
      <c r="A218" s="87">
        <v>206</v>
      </c>
      <c r="B218" s="56">
        <v>5</v>
      </c>
      <c r="C218" s="54" t="s">
        <v>700</v>
      </c>
      <c r="D218" s="25" t="s">
        <v>32</v>
      </c>
      <c r="E218" s="25" t="s">
        <v>145</v>
      </c>
      <c r="F218" s="38">
        <f t="shared" si="12"/>
        <v>453.11929952572058</v>
      </c>
      <c r="G218" s="17">
        <f t="shared" si="13"/>
        <v>65.487048522437064</v>
      </c>
      <c r="H218" s="38">
        <f>4250000/10964</f>
        <v>387.6322510032835</v>
      </c>
      <c r="I218" s="38">
        <v>718</v>
      </c>
      <c r="J218" s="24" t="s">
        <v>28</v>
      </c>
      <c r="K218" s="25" t="s">
        <v>701</v>
      </c>
      <c r="L218" s="42">
        <v>5</v>
      </c>
      <c r="M218" s="43" t="s">
        <v>702</v>
      </c>
    </row>
    <row r="219" spans="1:13" ht="30" x14ac:dyDescent="0.25">
      <c r="A219" s="87">
        <v>207</v>
      </c>
      <c r="B219" s="56">
        <v>6</v>
      </c>
      <c r="C219" s="54" t="s">
        <v>703</v>
      </c>
      <c r="D219" s="25" t="s">
        <v>20</v>
      </c>
      <c r="E219" s="25" t="s">
        <v>704</v>
      </c>
      <c r="F219" s="38">
        <f t="shared" si="12"/>
        <v>42.685151404596859</v>
      </c>
      <c r="G219" s="17">
        <f t="shared" si="13"/>
        <v>31.557825611090841</v>
      </c>
      <c r="H219" s="38">
        <f>122000/10964</f>
        <v>11.127325793506019</v>
      </c>
      <c r="I219" s="38">
        <v>346</v>
      </c>
      <c r="J219" s="16" t="s">
        <v>705</v>
      </c>
      <c r="K219" s="25" t="s">
        <v>706</v>
      </c>
      <c r="L219" s="42">
        <v>3</v>
      </c>
      <c r="M219" s="43" t="s">
        <v>707</v>
      </c>
    </row>
    <row r="220" spans="1:13" x14ac:dyDescent="0.25">
      <c r="A220" s="87">
        <v>208</v>
      </c>
      <c r="B220" s="56">
        <v>7</v>
      </c>
      <c r="C220" s="54" t="s">
        <v>708</v>
      </c>
      <c r="D220" s="25" t="s">
        <v>26</v>
      </c>
      <c r="E220" s="25" t="s">
        <v>27</v>
      </c>
      <c r="F220" s="38">
        <f t="shared" si="12"/>
        <v>165.68934695366653</v>
      </c>
      <c r="G220" s="17">
        <f t="shared" si="13"/>
        <v>109.90514410798978</v>
      </c>
      <c r="H220" s="38">
        <f>611618/10964</f>
        <v>55.784202845676759</v>
      </c>
      <c r="I220" s="38">
        <v>1205</v>
      </c>
      <c r="J220" s="24" t="s">
        <v>22</v>
      </c>
      <c r="K220" s="25" t="s">
        <v>709</v>
      </c>
      <c r="L220" s="42">
        <v>5</v>
      </c>
      <c r="M220" s="43" t="s">
        <v>710</v>
      </c>
    </row>
    <row r="221" spans="1:13" ht="45" x14ac:dyDescent="0.25">
      <c r="A221" s="87">
        <v>209</v>
      </c>
      <c r="B221" s="56">
        <v>8</v>
      </c>
      <c r="C221" s="54" t="s">
        <v>711</v>
      </c>
      <c r="D221" s="25" t="s">
        <v>32</v>
      </c>
      <c r="E221" s="25" t="s">
        <v>33</v>
      </c>
      <c r="F221" s="38">
        <f t="shared" si="12"/>
        <v>469.71908062750822</v>
      </c>
      <c r="G221" s="17">
        <f t="shared" si="13"/>
        <v>378.51149215614737</v>
      </c>
      <c r="H221" s="38">
        <f>1000000/10964</f>
        <v>91.207588471360822</v>
      </c>
      <c r="I221" s="38">
        <v>4150</v>
      </c>
      <c r="J221" s="24" t="s">
        <v>22</v>
      </c>
      <c r="K221" s="25" t="s">
        <v>712</v>
      </c>
      <c r="L221" s="42">
        <v>5</v>
      </c>
      <c r="M221" s="43" t="s">
        <v>713</v>
      </c>
    </row>
    <row r="222" spans="1:13" x14ac:dyDescent="0.25">
      <c r="A222" s="87">
        <v>210</v>
      </c>
      <c r="B222" s="56">
        <v>9</v>
      </c>
      <c r="C222" s="54" t="s">
        <v>714</v>
      </c>
      <c r="D222" s="25" t="s">
        <v>32</v>
      </c>
      <c r="E222" s="25" t="s">
        <v>715</v>
      </c>
      <c r="F222" s="38">
        <f t="shared" si="12"/>
        <v>123.13024443633709</v>
      </c>
      <c r="G222" s="17">
        <f t="shared" si="13"/>
        <v>72.966070777088646</v>
      </c>
      <c r="H222" s="38">
        <f>550000/10964</f>
        <v>50.164173659248448</v>
      </c>
      <c r="I222" s="38">
        <v>800</v>
      </c>
      <c r="J222" s="25" t="s">
        <v>16</v>
      </c>
      <c r="K222" s="25" t="s">
        <v>716</v>
      </c>
      <c r="L222" s="42">
        <v>5</v>
      </c>
      <c r="M222" s="43" t="s">
        <v>717</v>
      </c>
    </row>
    <row r="223" spans="1:13" ht="30" x14ac:dyDescent="0.25">
      <c r="A223" s="87">
        <v>211</v>
      </c>
      <c r="B223" s="56">
        <v>10</v>
      </c>
      <c r="C223" s="54" t="s">
        <v>718</v>
      </c>
      <c r="D223" s="25" t="s">
        <v>235</v>
      </c>
      <c r="E223" s="25" t="s">
        <v>719</v>
      </c>
      <c r="F223" s="38">
        <f t="shared" si="12"/>
        <v>361.81138270704122</v>
      </c>
      <c r="G223" s="17">
        <f t="shared" si="13"/>
        <v>109.44910616563298</v>
      </c>
      <c r="H223" s="38">
        <f>2766900/10964</f>
        <v>252.36227654140825</v>
      </c>
      <c r="I223" s="38">
        <v>1200</v>
      </c>
      <c r="J223" s="25" t="s">
        <v>22</v>
      </c>
      <c r="K223" s="25" t="s">
        <v>720</v>
      </c>
      <c r="L223" s="42">
        <v>2</v>
      </c>
      <c r="M223" s="43" t="s">
        <v>721</v>
      </c>
    </row>
    <row r="224" spans="1:13" x14ac:dyDescent="0.25">
      <c r="A224" s="87">
        <v>212</v>
      </c>
      <c r="B224" s="56">
        <v>11</v>
      </c>
      <c r="C224" s="54" t="s">
        <v>722</v>
      </c>
      <c r="D224" s="25" t="s">
        <v>441</v>
      </c>
      <c r="E224" s="25" t="s">
        <v>723</v>
      </c>
      <c r="F224" s="38">
        <f t="shared" si="12"/>
        <v>114.92156147391461</v>
      </c>
      <c r="G224" s="17">
        <f t="shared" si="13"/>
        <v>45.603794235680404</v>
      </c>
      <c r="H224" s="38">
        <v>69.317767238234197</v>
      </c>
      <c r="I224" s="44">
        <v>500</v>
      </c>
      <c r="J224" s="16" t="s">
        <v>22</v>
      </c>
      <c r="K224" s="25" t="s">
        <v>724</v>
      </c>
      <c r="L224" s="42">
        <v>2</v>
      </c>
      <c r="M224" s="43" t="s">
        <v>725</v>
      </c>
    </row>
    <row r="225" spans="1:13" x14ac:dyDescent="0.25">
      <c r="A225" s="87">
        <v>213</v>
      </c>
      <c r="B225" s="56">
        <v>12</v>
      </c>
      <c r="C225" s="54" t="s">
        <v>726</v>
      </c>
      <c r="D225" s="25" t="s">
        <v>32</v>
      </c>
      <c r="E225" s="25" t="s">
        <v>727</v>
      </c>
      <c r="F225" s="38">
        <f t="shared" si="12"/>
        <v>537.04113467712511</v>
      </c>
      <c r="G225" s="17">
        <f t="shared" si="13"/>
        <v>91.207588471360808</v>
      </c>
      <c r="H225" s="38">
        <f>(4888119000.6/10964)/1000</f>
        <v>445.83354620576432</v>
      </c>
      <c r="I225" s="55">
        <v>1000</v>
      </c>
      <c r="J225" s="25" t="s">
        <v>16</v>
      </c>
      <c r="K225" s="25" t="s">
        <v>728</v>
      </c>
      <c r="L225" s="42">
        <v>2</v>
      </c>
      <c r="M225" s="43" t="s">
        <v>729</v>
      </c>
    </row>
    <row r="226" spans="1:13" ht="30" x14ac:dyDescent="0.25">
      <c r="A226" s="87">
        <v>214</v>
      </c>
      <c r="B226" s="56">
        <v>13</v>
      </c>
      <c r="C226" s="54" t="s">
        <v>730</v>
      </c>
      <c r="D226" s="25" t="s">
        <v>32</v>
      </c>
      <c r="E226" s="25" t="s">
        <v>731</v>
      </c>
      <c r="F226" s="38">
        <f t="shared" si="12"/>
        <v>447.96550529004014</v>
      </c>
      <c r="G226" s="17">
        <f t="shared" si="13"/>
        <v>182.41517694272162</v>
      </c>
      <c r="H226" s="38">
        <f>(2911493800/10964)/1000</f>
        <v>265.5503283473185</v>
      </c>
      <c r="I226" s="55">
        <v>2000</v>
      </c>
      <c r="J226" s="25" t="s">
        <v>16</v>
      </c>
      <c r="K226" s="25" t="s">
        <v>732</v>
      </c>
      <c r="L226" s="42">
        <v>2</v>
      </c>
      <c r="M226" s="43" t="s">
        <v>733</v>
      </c>
    </row>
    <row r="227" spans="1:13" ht="30" x14ac:dyDescent="0.25">
      <c r="A227" s="87">
        <v>215</v>
      </c>
      <c r="B227" s="56">
        <v>14</v>
      </c>
      <c r="C227" s="54" t="s">
        <v>734</v>
      </c>
      <c r="D227" s="25" t="s">
        <v>32</v>
      </c>
      <c r="E227" s="25" t="s">
        <v>145</v>
      </c>
      <c r="F227" s="38">
        <f t="shared" si="12"/>
        <v>121.2404232032105</v>
      </c>
      <c r="G227" s="17">
        <f t="shared" si="13"/>
        <v>58.737686975556365</v>
      </c>
      <c r="H227" s="38">
        <f>(685280000/10964)/1000</f>
        <v>62.50273622765414</v>
      </c>
      <c r="I227" s="55">
        <v>644</v>
      </c>
      <c r="J227" s="16" t="s">
        <v>22</v>
      </c>
      <c r="K227" s="25" t="s">
        <v>735</v>
      </c>
      <c r="L227" s="42">
        <v>3</v>
      </c>
      <c r="M227" s="43" t="s">
        <v>736</v>
      </c>
    </row>
    <row r="228" spans="1:13" x14ac:dyDescent="0.25">
      <c r="A228" s="87">
        <v>216</v>
      </c>
      <c r="B228" s="56">
        <v>15</v>
      </c>
      <c r="C228" s="54" t="s">
        <v>737</v>
      </c>
      <c r="D228" s="25" t="s">
        <v>253</v>
      </c>
      <c r="E228" s="25" t="s">
        <v>738</v>
      </c>
      <c r="F228" s="38">
        <f t="shared" si="12"/>
        <v>684.05691353520615</v>
      </c>
      <c r="G228" s="17">
        <f t="shared" si="13"/>
        <v>342.02845676760307</v>
      </c>
      <c r="H228" s="38">
        <f>I228/10.964</f>
        <v>342.02845676760307</v>
      </c>
      <c r="I228" s="55">
        <v>3750</v>
      </c>
      <c r="J228" s="24" t="s">
        <v>22</v>
      </c>
      <c r="K228" s="25" t="s">
        <v>739</v>
      </c>
      <c r="L228" s="42">
        <v>5</v>
      </c>
      <c r="M228" s="43" t="s">
        <v>740</v>
      </c>
    </row>
    <row r="229" spans="1:13" ht="30" x14ac:dyDescent="0.25">
      <c r="A229" s="87">
        <v>217</v>
      </c>
      <c r="B229" s="56">
        <v>16</v>
      </c>
      <c r="C229" s="54" t="s">
        <v>741</v>
      </c>
      <c r="D229" s="25" t="s">
        <v>32</v>
      </c>
      <c r="E229" s="25" t="s">
        <v>434</v>
      </c>
      <c r="F229" s="38">
        <f t="shared" si="12"/>
        <v>583.13756840569158</v>
      </c>
      <c r="G229" s="17">
        <f t="shared" si="13"/>
        <v>182.41517694272162</v>
      </c>
      <c r="H229" s="38">
        <v>400.72239146296999</v>
      </c>
      <c r="I229" s="55">
        <v>2000</v>
      </c>
      <c r="J229" s="24" t="s">
        <v>126</v>
      </c>
      <c r="K229" s="25" t="s">
        <v>742</v>
      </c>
      <c r="L229" s="42">
        <v>2</v>
      </c>
      <c r="M229" s="43" t="s">
        <v>743</v>
      </c>
    </row>
    <row r="230" spans="1:13" x14ac:dyDescent="0.25">
      <c r="A230" s="87">
        <v>218</v>
      </c>
      <c r="B230" s="56">
        <v>17</v>
      </c>
      <c r="C230" s="54" t="s">
        <v>744</v>
      </c>
      <c r="D230" s="25" t="s">
        <v>26</v>
      </c>
      <c r="E230" s="25" t="s">
        <v>105</v>
      </c>
      <c r="F230" s="38">
        <f t="shared" si="12"/>
        <v>59.28493250638445</v>
      </c>
      <c r="G230" s="17">
        <f t="shared" si="13"/>
        <v>27.362276541408246</v>
      </c>
      <c r="H230" s="38">
        <v>31.922655964976201</v>
      </c>
      <c r="I230" s="55">
        <v>300</v>
      </c>
      <c r="J230" s="24" t="s">
        <v>126</v>
      </c>
      <c r="K230" s="25" t="s">
        <v>745</v>
      </c>
      <c r="L230" s="42">
        <v>2</v>
      </c>
      <c r="M230" s="43">
        <v>302399324</v>
      </c>
    </row>
    <row r="231" spans="1:13" x14ac:dyDescent="0.25">
      <c r="A231" s="87">
        <v>219</v>
      </c>
      <c r="B231" s="56">
        <v>18</v>
      </c>
      <c r="C231" s="54" t="s">
        <v>746</v>
      </c>
      <c r="D231" s="16" t="s">
        <v>77</v>
      </c>
      <c r="E231" s="25" t="s">
        <v>137</v>
      </c>
      <c r="F231" s="38">
        <f t="shared" si="12"/>
        <v>87.422473549799278</v>
      </c>
      <c r="G231" s="17">
        <f t="shared" si="13"/>
        <v>41.955490696825976</v>
      </c>
      <c r="H231" s="38">
        <v>45.466982852973302</v>
      </c>
      <c r="I231" s="55">
        <v>460</v>
      </c>
      <c r="J231" s="16" t="s">
        <v>22</v>
      </c>
      <c r="K231" s="25" t="s">
        <v>747</v>
      </c>
      <c r="L231" s="42">
        <v>2</v>
      </c>
      <c r="M231" s="43" t="s">
        <v>748</v>
      </c>
    </row>
    <row r="232" spans="1:13" x14ac:dyDescent="0.25">
      <c r="A232" s="87">
        <v>220</v>
      </c>
      <c r="B232" s="56">
        <v>19</v>
      </c>
      <c r="C232" s="54" t="s">
        <v>749</v>
      </c>
      <c r="D232" s="25" t="s">
        <v>32</v>
      </c>
      <c r="E232" s="25" t="s">
        <v>750</v>
      </c>
      <c r="F232" s="38">
        <f t="shared" si="12"/>
        <v>63.845311929952643</v>
      </c>
      <c r="G232" s="17">
        <f t="shared" si="13"/>
        <v>27.362276541408246</v>
      </c>
      <c r="H232" s="38">
        <v>36.483035388544401</v>
      </c>
      <c r="I232" s="55">
        <v>300</v>
      </c>
      <c r="J232" s="25" t="s">
        <v>16</v>
      </c>
      <c r="K232" s="16" t="s">
        <v>751</v>
      </c>
      <c r="L232" s="42">
        <v>1</v>
      </c>
      <c r="M232" s="43" t="s">
        <v>752</v>
      </c>
    </row>
    <row r="233" spans="1:13" ht="45" x14ac:dyDescent="0.25">
      <c r="A233" s="87">
        <v>221</v>
      </c>
      <c r="B233" s="56">
        <v>20</v>
      </c>
      <c r="C233" s="54" t="s">
        <v>753</v>
      </c>
      <c r="D233" s="16" t="s">
        <v>253</v>
      </c>
      <c r="E233" s="25" t="s">
        <v>754</v>
      </c>
      <c r="F233" s="38">
        <f t="shared" si="12"/>
        <v>90.468077344034995</v>
      </c>
      <c r="G233" s="17">
        <f t="shared" si="13"/>
        <v>48.431229478292593</v>
      </c>
      <c r="H233" s="38">
        <v>42.036847865742402</v>
      </c>
      <c r="I233" s="55">
        <v>531</v>
      </c>
      <c r="J233" s="16" t="s">
        <v>28</v>
      </c>
      <c r="K233" s="25" t="s">
        <v>755</v>
      </c>
      <c r="L233" s="42">
        <v>2</v>
      </c>
      <c r="M233" s="43" t="s">
        <v>756</v>
      </c>
    </row>
    <row r="234" spans="1:13" x14ac:dyDescent="0.25">
      <c r="A234" s="87">
        <v>222</v>
      </c>
      <c r="B234" s="56">
        <v>21</v>
      </c>
      <c r="C234" s="54" t="s">
        <v>757</v>
      </c>
      <c r="D234" s="16" t="s">
        <v>253</v>
      </c>
      <c r="E234" s="25" t="s">
        <v>738</v>
      </c>
      <c r="F234" s="38">
        <f t="shared" si="12"/>
        <v>4483.4002188982085</v>
      </c>
      <c r="G234" s="17">
        <f t="shared" si="13"/>
        <v>95.767967894928859</v>
      </c>
      <c r="H234" s="38">
        <v>4387.6322510032796</v>
      </c>
      <c r="I234" s="55">
        <v>1050</v>
      </c>
      <c r="J234" s="16" t="s">
        <v>22</v>
      </c>
      <c r="K234" s="25" t="s">
        <v>758</v>
      </c>
      <c r="L234" s="42">
        <v>2</v>
      </c>
      <c r="M234" s="43" t="s">
        <v>740</v>
      </c>
    </row>
    <row r="235" spans="1:13" x14ac:dyDescent="0.25">
      <c r="A235" s="87">
        <v>223</v>
      </c>
      <c r="B235" s="56">
        <v>22</v>
      </c>
      <c r="C235" s="54" t="s">
        <v>759</v>
      </c>
      <c r="D235" s="16" t="s">
        <v>77</v>
      </c>
      <c r="E235" s="25" t="s">
        <v>197</v>
      </c>
      <c r="F235" s="38">
        <f t="shared" si="12"/>
        <v>40.600784385260781</v>
      </c>
      <c r="G235" s="17">
        <f t="shared" si="13"/>
        <v>20.065669463699379</v>
      </c>
      <c r="H235" s="38">
        <v>20.535114921561402</v>
      </c>
      <c r="I235" s="55">
        <v>220</v>
      </c>
      <c r="J235" s="24" t="s">
        <v>126</v>
      </c>
      <c r="K235" s="25" t="s">
        <v>760</v>
      </c>
      <c r="L235" s="42">
        <v>1</v>
      </c>
      <c r="M235" s="43" t="s">
        <v>761</v>
      </c>
    </row>
    <row r="236" spans="1:13" ht="45" x14ac:dyDescent="0.25">
      <c r="A236" s="87">
        <v>224</v>
      </c>
      <c r="B236" s="56">
        <v>23</v>
      </c>
      <c r="C236" s="54" t="s">
        <v>762</v>
      </c>
      <c r="D236" s="16" t="s">
        <v>441</v>
      </c>
      <c r="E236" s="25" t="s">
        <v>406</v>
      </c>
      <c r="F236" s="38">
        <f t="shared" si="12"/>
        <v>155.05290040128651</v>
      </c>
      <c r="G236" s="17">
        <f t="shared" si="13"/>
        <v>91.207588471360808</v>
      </c>
      <c r="H236" s="38">
        <v>63.8453119299257</v>
      </c>
      <c r="I236" s="55">
        <v>1000</v>
      </c>
      <c r="J236" s="25" t="s">
        <v>16</v>
      </c>
      <c r="K236" s="25" t="s">
        <v>763</v>
      </c>
      <c r="L236" s="42">
        <v>2</v>
      </c>
      <c r="M236" s="43" t="s">
        <v>764</v>
      </c>
    </row>
    <row r="237" spans="1:13" ht="30" x14ac:dyDescent="0.25">
      <c r="A237" s="87">
        <v>225</v>
      </c>
      <c r="B237" s="56">
        <v>24</v>
      </c>
      <c r="C237" s="54" t="s">
        <v>765</v>
      </c>
      <c r="D237" s="16" t="s">
        <v>26</v>
      </c>
      <c r="E237" s="25" t="s">
        <v>272</v>
      </c>
      <c r="F237" s="38">
        <f t="shared" si="12"/>
        <v>82.086829624224691</v>
      </c>
      <c r="G237" s="17">
        <f t="shared" si="13"/>
        <v>54.724553082816492</v>
      </c>
      <c r="H237" s="38">
        <v>27.3622765414082</v>
      </c>
      <c r="I237" s="55">
        <v>600</v>
      </c>
      <c r="J237" s="25" t="s">
        <v>16</v>
      </c>
      <c r="K237" s="25" t="s">
        <v>766</v>
      </c>
      <c r="L237" s="42">
        <v>1</v>
      </c>
      <c r="M237" s="43" t="s">
        <v>767</v>
      </c>
    </row>
    <row r="238" spans="1:13" ht="45" x14ac:dyDescent="0.25">
      <c r="A238" s="87">
        <v>226</v>
      </c>
      <c r="B238" s="56">
        <v>25</v>
      </c>
      <c r="C238" s="54" t="s">
        <v>768</v>
      </c>
      <c r="D238" s="16" t="s">
        <v>48</v>
      </c>
      <c r="E238" s="25" t="s">
        <v>769</v>
      </c>
      <c r="F238" s="38">
        <f t="shared" si="12"/>
        <v>103.68022619481941</v>
      </c>
      <c r="G238" s="17">
        <f t="shared" si="13"/>
        <v>27.339474644290405</v>
      </c>
      <c r="H238" s="38">
        <v>76.340751550529006</v>
      </c>
      <c r="I238" s="55">
        <v>299.75</v>
      </c>
      <c r="J238" s="24" t="s">
        <v>126</v>
      </c>
      <c r="K238" s="25" t="s">
        <v>770</v>
      </c>
      <c r="L238" s="42">
        <v>2</v>
      </c>
      <c r="M238" s="43" t="s">
        <v>771</v>
      </c>
    </row>
    <row r="239" spans="1:13" ht="30" x14ac:dyDescent="0.25">
      <c r="A239" s="87">
        <v>227</v>
      </c>
      <c r="B239" s="56">
        <v>26</v>
      </c>
      <c r="C239" s="54" t="s">
        <v>772</v>
      </c>
      <c r="D239" s="16" t="s">
        <v>14</v>
      </c>
      <c r="E239" s="25" t="s">
        <v>133</v>
      </c>
      <c r="F239" s="38">
        <f t="shared" si="12"/>
        <v>1824.1517694272129</v>
      </c>
      <c r="G239" s="17">
        <f t="shared" si="13"/>
        <v>319.22655964976286</v>
      </c>
      <c r="H239" s="38">
        <v>1504.9252097774499</v>
      </c>
      <c r="I239" s="55">
        <v>3500</v>
      </c>
      <c r="J239" s="25" t="s">
        <v>16</v>
      </c>
      <c r="K239" s="25" t="s">
        <v>773</v>
      </c>
      <c r="L239" s="42">
        <v>2</v>
      </c>
      <c r="M239" s="43" t="s">
        <v>774</v>
      </c>
    </row>
    <row r="240" spans="1:13" x14ac:dyDescent="0.25">
      <c r="A240" s="87">
        <v>228</v>
      </c>
      <c r="B240" s="56">
        <v>27</v>
      </c>
      <c r="C240" s="54" t="s">
        <v>775</v>
      </c>
      <c r="D240" s="16" t="s">
        <v>253</v>
      </c>
      <c r="E240" s="25" t="s">
        <v>776</v>
      </c>
      <c r="F240" s="38">
        <f t="shared" si="12"/>
        <v>195.45786209412623</v>
      </c>
      <c r="G240" s="17">
        <f t="shared" si="13"/>
        <v>136.81138270704122</v>
      </c>
      <c r="H240" s="38">
        <v>58.646479387085002</v>
      </c>
      <c r="I240" s="55">
        <v>1500</v>
      </c>
      <c r="J240" s="25" t="s">
        <v>122</v>
      </c>
      <c r="K240" s="25" t="s">
        <v>777</v>
      </c>
      <c r="L240" s="42">
        <v>2</v>
      </c>
      <c r="M240" s="43" t="s">
        <v>778</v>
      </c>
    </row>
    <row r="241" spans="1:13" s="61" customFormat="1" ht="30" x14ac:dyDescent="0.25">
      <c r="A241" s="87">
        <v>229</v>
      </c>
      <c r="B241" s="56">
        <v>28</v>
      </c>
      <c r="C241" s="57" t="s">
        <v>779</v>
      </c>
      <c r="D241" s="21" t="s">
        <v>253</v>
      </c>
      <c r="E241" s="24" t="s">
        <v>776</v>
      </c>
      <c r="F241" s="58">
        <f t="shared" si="12"/>
        <v>352.83655600145897</v>
      </c>
      <c r="G241" s="64">
        <f t="shared" si="13"/>
        <v>218.89821233126597</v>
      </c>
      <c r="H241" s="58">
        <v>133.93834367019301</v>
      </c>
      <c r="I241" s="92">
        <v>2400</v>
      </c>
      <c r="J241" s="24" t="s">
        <v>16</v>
      </c>
      <c r="K241" s="24" t="s">
        <v>780</v>
      </c>
      <c r="L241" s="59">
        <v>6</v>
      </c>
      <c r="M241" s="60" t="s">
        <v>781</v>
      </c>
    </row>
    <row r="242" spans="1:13" x14ac:dyDescent="0.25">
      <c r="A242" s="87">
        <v>230</v>
      </c>
      <c r="B242" s="56">
        <v>29</v>
      </c>
      <c r="C242" s="54" t="s">
        <v>782</v>
      </c>
      <c r="D242" s="16" t="s">
        <v>26</v>
      </c>
      <c r="E242" s="25" t="s">
        <v>783</v>
      </c>
      <c r="F242" s="38">
        <f t="shared" si="12"/>
        <v>38.763225100328349</v>
      </c>
      <c r="G242" s="17">
        <f t="shared" si="13"/>
        <v>26.176577891280555</v>
      </c>
      <c r="H242" s="38">
        <f>138/10.964</f>
        <v>12.586647209047792</v>
      </c>
      <c r="I242" s="55">
        <v>287</v>
      </c>
      <c r="J242" s="25" t="s">
        <v>28</v>
      </c>
      <c r="K242" s="25" t="s">
        <v>784</v>
      </c>
      <c r="L242" s="42">
        <v>5</v>
      </c>
      <c r="M242" s="43" t="s">
        <v>785</v>
      </c>
    </row>
    <row r="243" spans="1:13" s="20" customFormat="1" ht="30" x14ac:dyDescent="0.25">
      <c r="A243" s="87">
        <v>231</v>
      </c>
      <c r="B243" s="56">
        <v>30</v>
      </c>
      <c r="C243" s="15" t="s">
        <v>786</v>
      </c>
      <c r="D243" s="16" t="s">
        <v>253</v>
      </c>
      <c r="E243" s="16" t="s">
        <v>787</v>
      </c>
      <c r="F243" s="17">
        <f t="shared" si="12"/>
        <v>1420.1614374315941</v>
      </c>
      <c r="G243" s="17">
        <f t="shared" si="13"/>
        <v>994.16271433783288</v>
      </c>
      <c r="H243" s="17">
        <v>425.99872309376121</v>
      </c>
      <c r="I243" s="93">
        <v>10900</v>
      </c>
      <c r="J243" s="25" t="s">
        <v>122</v>
      </c>
      <c r="K243" s="16" t="s">
        <v>788</v>
      </c>
      <c r="L243" s="18">
        <v>10</v>
      </c>
      <c r="M243" s="19" t="s">
        <v>789</v>
      </c>
    </row>
    <row r="244" spans="1:13" s="20" customFormat="1" ht="45" x14ac:dyDescent="0.25">
      <c r="A244" s="87">
        <v>232</v>
      </c>
      <c r="B244" s="56">
        <v>31</v>
      </c>
      <c r="C244" s="15" t="s">
        <v>786</v>
      </c>
      <c r="D244" s="16" t="s">
        <v>253</v>
      </c>
      <c r="E244" s="16" t="s">
        <v>787</v>
      </c>
      <c r="F244" s="17">
        <f t="shared" si="12"/>
        <v>286.6380882889456</v>
      </c>
      <c r="G244" s="17">
        <f t="shared" si="13"/>
        <v>200.65669463699379</v>
      </c>
      <c r="H244" s="17">
        <v>85.981393651951805</v>
      </c>
      <c r="I244" s="93">
        <v>2200</v>
      </c>
      <c r="J244" s="16" t="s">
        <v>122</v>
      </c>
      <c r="K244" s="16" t="s">
        <v>790</v>
      </c>
      <c r="L244" s="18">
        <v>10</v>
      </c>
      <c r="M244" s="19" t="s">
        <v>789</v>
      </c>
    </row>
    <row r="245" spans="1:13" s="20" customFormat="1" ht="30" x14ac:dyDescent="0.25">
      <c r="A245" s="87">
        <v>233</v>
      </c>
      <c r="B245" s="56">
        <v>32</v>
      </c>
      <c r="C245" s="15" t="s">
        <v>791</v>
      </c>
      <c r="D245" s="16" t="s">
        <v>253</v>
      </c>
      <c r="E245" s="16" t="s">
        <v>792</v>
      </c>
      <c r="F245" s="17">
        <f t="shared" si="12"/>
        <v>514.51136355344761</v>
      </c>
      <c r="G245" s="17">
        <f t="shared" si="13"/>
        <v>96.68004377964246</v>
      </c>
      <c r="H245" s="17">
        <f>4581.10259/10.964</f>
        <v>417.83131977380521</v>
      </c>
      <c r="I245" s="93">
        <v>1060</v>
      </c>
      <c r="J245" s="16" t="s">
        <v>28</v>
      </c>
      <c r="K245" s="16" t="s">
        <v>793</v>
      </c>
      <c r="L245" s="18">
        <v>2</v>
      </c>
      <c r="M245" s="19" t="s">
        <v>794</v>
      </c>
    </row>
    <row r="246" spans="1:13" s="20" customFormat="1" x14ac:dyDescent="0.25">
      <c r="A246" s="87">
        <v>234</v>
      </c>
      <c r="B246" s="56">
        <v>33</v>
      </c>
      <c r="C246" s="15" t="s">
        <v>730</v>
      </c>
      <c r="D246" s="16" t="s">
        <v>32</v>
      </c>
      <c r="E246" s="16" t="s">
        <v>731</v>
      </c>
      <c r="F246" s="17">
        <f t="shared" si="12"/>
        <v>512.38086464793867</v>
      </c>
      <c r="G246" s="17">
        <f t="shared" si="13"/>
        <v>246.26048887267419</v>
      </c>
      <c r="H246" s="17">
        <f>2917.7438/10.964</f>
        <v>266.12037577526451</v>
      </c>
      <c r="I246" s="93">
        <v>2700</v>
      </c>
      <c r="J246" s="16" t="s">
        <v>16</v>
      </c>
      <c r="K246" s="16" t="s">
        <v>795</v>
      </c>
      <c r="L246" s="18">
        <v>2</v>
      </c>
      <c r="M246" s="19" t="s">
        <v>729</v>
      </c>
    </row>
    <row r="247" spans="1:13" s="20" customFormat="1" ht="30" x14ac:dyDescent="0.25">
      <c r="A247" s="87">
        <v>235</v>
      </c>
      <c r="B247" s="56">
        <v>34</v>
      </c>
      <c r="C247" s="15" t="s">
        <v>796</v>
      </c>
      <c r="D247" s="16" t="s">
        <v>253</v>
      </c>
      <c r="E247" s="16" t="s">
        <v>787</v>
      </c>
      <c r="F247" s="17">
        <f t="shared" si="12"/>
        <v>27.362276541408246</v>
      </c>
      <c r="G247" s="17">
        <f>I247/10.964</f>
        <v>10.944910616563298</v>
      </c>
      <c r="H247" s="17">
        <f>180/10.964</f>
        <v>16.417365924844948</v>
      </c>
      <c r="I247" s="93">
        <v>120</v>
      </c>
      <c r="J247" s="25" t="s">
        <v>28</v>
      </c>
      <c r="K247" s="16" t="s">
        <v>797</v>
      </c>
      <c r="L247" s="18">
        <v>2</v>
      </c>
      <c r="M247" s="19" t="s">
        <v>798</v>
      </c>
    </row>
    <row r="248" spans="1:13" s="20" customFormat="1" ht="45" customHeight="1" x14ac:dyDescent="0.25">
      <c r="A248" s="87">
        <v>236</v>
      </c>
      <c r="B248" s="56">
        <v>35</v>
      </c>
      <c r="C248" s="27" t="s">
        <v>799</v>
      </c>
      <c r="D248" s="16" t="s">
        <v>253</v>
      </c>
      <c r="E248" s="16" t="s">
        <v>800</v>
      </c>
      <c r="F248" s="117">
        <f t="shared" si="12"/>
        <v>1348.4107286272292</v>
      </c>
      <c r="G248" s="64">
        <f>(3630.25/10.964)+(2849.75/14.65)</f>
        <v>525.62853234849888</v>
      </c>
      <c r="H248" s="117">
        <f>9020.984/10.964</f>
        <v>822.78219627873034</v>
      </c>
      <c r="I248" s="118">
        <f>3630.25+2849.75</f>
        <v>6480</v>
      </c>
      <c r="J248" s="24" t="s">
        <v>22</v>
      </c>
      <c r="K248" s="21" t="s">
        <v>801</v>
      </c>
      <c r="L248" s="18">
        <v>10</v>
      </c>
      <c r="M248" s="19" t="s">
        <v>802</v>
      </c>
    </row>
    <row r="249" spans="1:13" s="20" customFormat="1" ht="75" x14ac:dyDescent="0.25">
      <c r="A249" s="87">
        <v>237</v>
      </c>
      <c r="B249" s="56">
        <v>36</v>
      </c>
      <c r="C249" s="15" t="s">
        <v>803</v>
      </c>
      <c r="D249" s="16" t="s">
        <v>48</v>
      </c>
      <c r="E249" s="25" t="s">
        <v>769</v>
      </c>
      <c r="F249" s="64">
        <f t="shared" si="12"/>
        <v>323.78888054607506</v>
      </c>
      <c r="G249" s="64">
        <f t="shared" ref="G249:G256" si="14">I249/14.65</f>
        <v>18.511945392491466</v>
      </c>
      <c r="H249" s="64">
        <f>4472.3071/14.65</f>
        <v>305.27693515358362</v>
      </c>
      <c r="I249" s="118">
        <v>271.2</v>
      </c>
      <c r="J249" s="24" t="s">
        <v>126</v>
      </c>
      <c r="K249" s="24" t="s">
        <v>804</v>
      </c>
      <c r="L249" s="18">
        <v>2</v>
      </c>
      <c r="M249" s="19" t="s">
        <v>771</v>
      </c>
    </row>
    <row r="250" spans="1:13" s="20" customFormat="1" x14ac:dyDescent="0.25">
      <c r="A250" s="87">
        <v>238</v>
      </c>
      <c r="B250" s="56">
        <v>37</v>
      </c>
      <c r="C250" s="15" t="s">
        <v>805</v>
      </c>
      <c r="D250" s="16" t="s">
        <v>235</v>
      </c>
      <c r="E250" s="16" t="s">
        <v>268</v>
      </c>
      <c r="F250" s="64">
        <f t="shared" si="12"/>
        <v>110.09788395904437</v>
      </c>
      <c r="G250" s="64">
        <f t="shared" si="14"/>
        <v>20.477815699658702</v>
      </c>
      <c r="H250" s="64">
        <f>1312.934/14.65</f>
        <v>89.620068259385661</v>
      </c>
      <c r="I250" s="118">
        <v>300</v>
      </c>
      <c r="J250" s="21" t="s">
        <v>22</v>
      </c>
      <c r="K250" s="24" t="s">
        <v>806</v>
      </c>
      <c r="L250" s="18">
        <v>1</v>
      </c>
      <c r="M250" s="19" t="s">
        <v>807</v>
      </c>
    </row>
    <row r="251" spans="1:13" s="20" customFormat="1" x14ac:dyDescent="0.25">
      <c r="A251" s="87">
        <v>239</v>
      </c>
      <c r="B251" s="56">
        <v>38</v>
      </c>
      <c r="C251" s="15" t="s">
        <v>805</v>
      </c>
      <c r="D251" s="16" t="s">
        <v>235</v>
      </c>
      <c r="E251" s="16" t="s">
        <v>268</v>
      </c>
      <c r="F251" s="64">
        <f t="shared" si="12"/>
        <v>192.00914675767916</v>
      </c>
      <c r="G251" s="64">
        <f t="shared" si="14"/>
        <v>102.38907849829351</v>
      </c>
      <c r="H251" s="64">
        <f>1312.934/14.65</f>
        <v>89.620068259385661</v>
      </c>
      <c r="I251" s="118">
        <v>1500</v>
      </c>
      <c r="J251" s="24" t="s">
        <v>22</v>
      </c>
      <c r="K251" s="24" t="s">
        <v>808</v>
      </c>
      <c r="L251" s="18">
        <v>1</v>
      </c>
      <c r="M251" s="19" t="s">
        <v>807</v>
      </c>
    </row>
    <row r="252" spans="1:13" s="20" customFormat="1" x14ac:dyDescent="0.25">
      <c r="A252" s="87">
        <v>240</v>
      </c>
      <c r="B252" s="56">
        <v>39</v>
      </c>
      <c r="C252" s="15" t="s">
        <v>809</v>
      </c>
      <c r="D252" s="16" t="s">
        <v>32</v>
      </c>
      <c r="E252" s="16" t="s">
        <v>33</v>
      </c>
      <c r="F252" s="64">
        <f t="shared" si="12"/>
        <v>68.25938566552901</v>
      </c>
      <c r="G252" s="64">
        <f t="shared" si="14"/>
        <v>46.894197952218427</v>
      </c>
      <c r="H252" s="64">
        <f>313/14.65</f>
        <v>21.365187713310579</v>
      </c>
      <c r="I252" s="118">
        <v>687</v>
      </c>
      <c r="J252" s="24" t="s">
        <v>28</v>
      </c>
      <c r="K252" s="24" t="s">
        <v>810</v>
      </c>
      <c r="L252" s="18">
        <v>2</v>
      </c>
      <c r="M252" s="19" t="s">
        <v>690</v>
      </c>
    </row>
    <row r="253" spans="1:13" s="20" customFormat="1" x14ac:dyDescent="0.25">
      <c r="A253" s="87">
        <v>241</v>
      </c>
      <c r="B253" s="56">
        <v>40</v>
      </c>
      <c r="C253" s="15" t="s">
        <v>811</v>
      </c>
      <c r="D253" s="16" t="s">
        <v>441</v>
      </c>
      <c r="E253" s="25" t="s">
        <v>406</v>
      </c>
      <c r="F253" s="64">
        <f t="shared" si="12"/>
        <v>141.97952218430032</v>
      </c>
      <c r="G253" s="64">
        <f t="shared" si="14"/>
        <v>73.720136518771326</v>
      </c>
      <c r="H253" s="64">
        <f>1000/14.65</f>
        <v>68.25938566552901</v>
      </c>
      <c r="I253" s="118">
        <v>1080</v>
      </c>
      <c r="J253" s="21" t="s">
        <v>16</v>
      </c>
      <c r="K253" s="24" t="s">
        <v>812</v>
      </c>
      <c r="L253" s="18">
        <v>2</v>
      </c>
      <c r="M253" s="19" t="s">
        <v>764</v>
      </c>
    </row>
    <row r="254" spans="1:13" s="20" customFormat="1" x14ac:dyDescent="0.25">
      <c r="A254" s="87">
        <v>242</v>
      </c>
      <c r="B254" s="56">
        <v>41</v>
      </c>
      <c r="C254" s="15" t="s">
        <v>813</v>
      </c>
      <c r="D254" s="16" t="s">
        <v>253</v>
      </c>
      <c r="E254" s="16" t="s">
        <v>570</v>
      </c>
      <c r="F254" s="64">
        <f t="shared" si="12"/>
        <v>59.044368600682589</v>
      </c>
      <c r="G254" s="64">
        <f t="shared" si="14"/>
        <v>40.955631399317404</v>
      </c>
      <c r="H254" s="64">
        <f>265/14.65</f>
        <v>18.088737201365188</v>
      </c>
      <c r="I254" s="118">
        <v>600</v>
      </c>
      <c r="J254" s="21" t="s">
        <v>122</v>
      </c>
      <c r="K254" s="24" t="s">
        <v>814</v>
      </c>
      <c r="L254" s="18">
        <v>2</v>
      </c>
      <c r="M254" s="19" t="s">
        <v>815</v>
      </c>
    </row>
    <row r="255" spans="1:13" s="20" customFormat="1" x14ac:dyDescent="0.25">
      <c r="A255" s="87">
        <v>243</v>
      </c>
      <c r="B255" s="56">
        <v>42</v>
      </c>
      <c r="C255" s="15" t="s">
        <v>816</v>
      </c>
      <c r="D255" s="16" t="s">
        <v>26</v>
      </c>
      <c r="E255" s="16" t="s">
        <v>817</v>
      </c>
      <c r="F255" s="64">
        <f t="shared" si="12"/>
        <v>1553.1565938566553</v>
      </c>
      <c r="G255" s="64">
        <f t="shared" si="14"/>
        <v>341.29692832764505</v>
      </c>
      <c r="H255" s="64">
        <f>17753.7441/14.65</f>
        <v>1211.8596655290103</v>
      </c>
      <c r="I255" s="118">
        <v>5000</v>
      </c>
      <c r="J255" s="21" t="s">
        <v>16</v>
      </c>
      <c r="K255" s="24" t="s">
        <v>818</v>
      </c>
      <c r="L255" s="18">
        <v>22</v>
      </c>
      <c r="M255" s="19" t="s">
        <v>819</v>
      </c>
    </row>
    <row r="256" spans="1:13" s="20" customFormat="1" x14ac:dyDescent="0.25">
      <c r="A256" s="87">
        <v>244</v>
      </c>
      <c r="B256" s="56">
        <v>43</v>
      </c>
      <c r="C256" s="15" t="s">
        <v>820</v>
      </c>
      <c r="D256" s="16" t="s">
        <v>235</v>
      </c>
      <c r="E256" s="16" t="s">
        <v>821</v>
      </c>
      <c r="F256" s="64">
        <f t="shared" si="12"/>
        <v>258.19218197952216</v>
      </c>
      <c r="G256" s="64">
        <f t="shared" si="14"/>
        <v>177.47440273037543</v>
      </c>
      <c r="H256" s="64">
        <f>1182.515466/14.65</f>
        <v>80.717779249146759</v>
      </c>
      <c r="I256" s="118">
        <v>2600</v>
      </c>
      <c r="J256" s="21" t="s">
        <v>122</v>
      </c>
      <c r="K256" s="24" t="s">
        <v>822</v>
      </c>
      <c r="L256" s="18">
        <v>2</v>
      </c>
      <c r="M256" s="18">
        <v>303313271</v>
      </c>
    </row>
    <row r="257" spans="1:13" s="20" customFormat="1" x14ac:dyDescent="0.25">
      <c r="A257" s="87">
        <v>245</v>
      </c>
      <c r="B257" s="56">
        <v>44</v>
      </c>
      <c r="C257" s="15" t="s">
        <v>823</v>
      </c>
      <c r="D257" s="16" t="s">
        <v>32</v>
      </c>
      <c r="E257" s="16" t="s">
        <v>731</v>
      </c>
      <c r="F257" s="64">
        <f t="shared" si="12"/>
        <v>81.911262798634809</v>
      </c>
      <c r="G257" s="64">
        <f>I257/14.65</f>
        <v>57.337883959044369</v>
      </c>
      <c r="H257" s="64">
        <f>360/14.65</f>
        <v>24.573378839590443</v>
      </c>
      <c r="I257" s="118">
        <v>840</v>
      </c>
      <c r="J257" s="21" t="s">
        <v>22</v>
      </c>
      <c r="K257" s="24" t="s">
        <v>824</v>
      </c>
      <c r="L257" s="18">
        <v>2</v>
      </c>
      <c r="M257" s="18">
        <v>206273957</v>
      </c>
    </row>
    <row r="258" spans="1:13" s="20" customFormat="1" x14ac:dyDescent="0.25">
      <c r="A258" s="87">
        <v>246</v>
      </c>
      <c r="B258" s="56">
        <v>45</v>
      </c>
      <c r="C258" s="15" t="s">
        <v>825</v>
      </c>
      <c r="D258" s="16" t="s">
        <v>253</v>
      </c>
      <c r="E258" s="16" t="s">
        <v>479</v>
      </c>
      <c r="F258" s="64">
        <f t="shared" si="12"/>
        <v>137.45086757679178</v>
      </c>
      <c r="G258" s="64">
        <f>I258/14.65</f>
        <v>43.003412969283275</v>
      </c>
      <c r="H258" s="64">
        <f>1383.65521/14.65</f>
        <v>94.447454607508519</v>
      </c>
      <c r="I258" s="118">
        <v>630</v>
      </c>
      <c r="J258" s="21" t="s">
        <v>22</v>
      </c>
      <c r="K258" s="24" t="s">
        <v>837</v>
      </c>
      <c r="L258" s="18">
        <v>2</v>
      </c>
      <c r="M258" s="18">
        <v>302337994</v>
      </c>
    </row>
    <row r="259" spans="1:13" s="20" customFormat="1" ht="30" x14ac:dyDescent="0.25">
      <c r="A259" s="87">
        <v>247</v>
      </c>
      <c r="B259" s="56">
        <v>46</v>
      </c>
      <c r="C259" s="15" t="s">
        <v>826</v>
      </c>
      <c r="D259" s="16" t="s">
        <v>77</v>
      </c>
      <c r="E259" s="16" t="s">
        <v>827</v>
      </c>
      <c r="F259" s="64">
        <f t="shared" si="12"/>
        <v>58.703071672354952</v>
      </c>
      <c r="G259" s="64">
        <f>I259/14.65</f>
        <v>40.955631399317404</v>
      </c>
      <c r="H259" s="64">
        <f>260/14.65</f>
        <v>17.747440273037544</v>
      </c>
      <c r="I259" s="118">
        <v>600</v>
      </c>
      <c r="J259" s="21" t="s">
        <v>22</v>
      </c>
      <c r="K259" s="24" t="s">
        <v>828</v>
      </c>
      <c r="L259" s="18">
        <v>2</v>
      </c>
      <c r="M259" s="18">
        <v>300486186</v>
      </c>
    </row>
    <row r="260" spans="1:13" s="20" customFormat="1" ht="30" x14ac:dyDescent="0.25">
      <c r="A260" s="87">
        <v>248</v>
      </c>
      <c r="B260" s="56">
        <v>47</v>
      </c>
      <c r="C260" s="15" t="s">
        <v>829</v>
      </c>
      <c r="D260" s="16" t="s">
        <v>253</v>
      </c>
      <c r="E260" s="16" t="s">
        <v>787</v>
      </c>
      <c r="F260" s="64">
        <f t="shared" si="12"/>
        <v>34.129692832764505</v>
      </c>
      <c r="G260" s="64">
        <f>I260/14.65</f>
        <v>20.477815699658702</v>
      </c>
      <c r="H260" s="64">
        <f>200/14.65</f>
        <v>13.651877133105801</v>
      </c>
      <c r="I260" s="118">
        <v>300</v>
      </c>
      <c r="J260" s="21" t="s">
        <v>22</v>
      </c>
      <c r="K260" s="24" t="s">
        <v>830</v>
      </c>
      <c r="L260" s="18">
        <v>2</v>
      </c>
      <c r="M260" s="18">
        <v>574900290</v>
      </c>
    </row>
    <row r="261" spans="1:13" s="20" customFormat="1" x14ac:dyDescent="0.25">
      <c r="A261" s="87">
        <v>249</v>
      </c>
      <c r="B261" s="56">
        <v>48</v>
      </c>
      <c r="C261" s="15" t="s">
        <v>831</v>
      </c>
      <c r="D261" s="16" t="s">
        <v>225</v>
      </c>
      <c r="E261" s="16" t="s">
        <v>832</v>
      </c>
      <c r="F261" s="64">
        <f t="shared" si="12"/>
        <v>179.79130375426621</v>
      </c>
      <c r="G261" s="64">
        <f>I261/14.65</f>
        <v>88.737201365187715</v>
      </c>
      <c r="H261" s="64">
        <f>1333.9426/14.65</f>
        <v>91.054102389078508</v>
      </c>
      <c r="I261" s="118">
        <v>1300</v>
      </c>
      <c r="J261" s="21" t="s">
        <v>16</v>
      </c>
      <c r="K261" s="24" t="s">
        <v>833</v>
      </c>
      <c r="L261" s="18">
        <v>5</v>
      </c>
      <c r="M261" s="18">
        <v>307003045</v>
      </c>
    </row>
    <row r="262" spans="1:13" s="20" customFormat="1" ht="30" x14ac:dyDescent="0.25">
      <c r="A262" s="87">
        <v>250</v>
      </c>
      <c r="B262" s="56">
        <v>49</v>
      </c>
      <c r="C262" s="15" t="s">
        <v>1378</v>
      </c>
      <c r="D262" s="16" t="s">
        <v>235</v>
      </c>
      <c r="E262" s="16" t="s">
        <v>547</v>
      </c>
      <c r="F262" s="64">
        <f t="shared" si="12"/>
        <v>320.81911262798633</v>
      </c>
      <c r="G262" s="64">
        <f t="shared" ref="G262:G263" si="15">I262/14.65</f>
        <v>218.43003412969281</v>
      </c>
      <c r="H262" s="64">
        <f>1500/14.65</f>
        <v>102.38907849829351</v>
      </c>
      <c r="I262" s="118">
        <v>3200</v>
      </c>
      <c r="J262" s="16" t="s">
        <v>16</v>
      </c>
      <c r="K262" s="24" t="s">
        <v>1380</v>
      </c>
      <c r="L262" s="18">
        <v>3</v>
      </c>
      <c r="M262" s="18">
        <v>312136890</v>
      </c>
    </row>
    <row r="263" spans="1:13" s="20" customFormat="1" x14ac:dyDescent="0.25">
      <c r="A263" s="87">
        <v>251</v>
      </c>
      <c r="B263" s="56">
        <v>50</v>
      </c>
      <c r="C263" s="15" t="s">
        <v>1379</v>
      </c>
      <c r="D263" s="16" t="s">
        <v>77</v>
      </c>
      <c r="E263" s="16" t="s">
        <v>197</v>
      </c>
      <c r="F263" s="64">
        <f t="shared" si="12"/>
        <v>40.067030716723551</v>
      </c>
      <c r="G263" s="64">
        <f t="shared" si="15"/>
        <v>17.064846416382252</v>
      </c>
      <c r="H263" s="64">
        <f>336.982/14.65</f>
        <v>23.002184300341298</v>
      </c>
      <c r="I263" s="118">
        <v>250</v>
      </c>
      <c r="J263" s="24" t="s">
        <v>126</v>
      </c>
      <c r="K263" s="24" t="s">
        <v>1381</v>
      </c>
      <c r="L263" s="18">
        <v>1</v>
      </c>
      <c r="M263" s="18">
        <v>306927534</v>
      </c>
    </row>
    <row r="264" spans="1:13" s="12" customFormat="1" ht="23.25" customHeight="1" x14ac:dyDescent="0.2">
      <c r="A264" s="94"/>
      <c r="B264" s="95"/>
      <c r="C264" s="37" t="s">
        <v>362</v>
      </c>
      <c r="D264" s="10"/>
      <c r="E264" s="10"/>
      <c r="F264" s="39">
        <f>SUM(F214:F263)</f>
        <v>19825.534172664054</v>
      </c>
      <c r="G264" s="39">
        <f>SUM(G214:G263)</f>
        <v>6502.2491467576792</v>
      </c>
      <c r="H264" s="39">
        <f>SUM(H214:H263)</f>
        <v>13323.285025906374</v>
      </c>
      <c r="I264" s="39">
        <f>SUM(I214:I263)</f>
        <v>76827.95</v>
      </c>
      <c r="J264" s="39"/>
      <c r="K264" s="39"/>
      <c r="L264" s="89">
        <f>SUM(L214:L263)</f>
        <v>176</v>
      </c>
      <c r="M264" s="39"/>
    </row>
    <row r="265" spans="1:13" s="12" customFormat="1" ht="27" customHeight="1" x14ac:dyDescent="0.2">
      <c r="A265" s="94"/>
      <c r="B265" s="95"/>
      <c r="C265" s="37" t="s">
        <v>363</v>
      </c>
      <c r="D265" s="10"/>
      <c r="E265" s="10"/>
      <c r="F265" s="39"/>
      <c r="G265" s="39">
        <f>+G213-G264</f>
        <v>3497.7508532423208</v>
      </c>
      <c r="H265" s="39"/>
      <c r="I265" s="39">
        <f>+I213-I264</f>
        <v>51242.05</v>
      </c>
      <c r="J265" s="96"/>
      <c r="K265" s="10"/>
      <c r="L265" s="97"/>
      <c r="M265" s="98"/>
    </row>
    <row r="266" spans="1:13" s="12" customFormat="1" ht="14.25" customHeight="1" x14ac:dyDescent="0.2">
      <c r="A266" s="94"/>
      <c r="B266" s="95"/>
      <c r="C266" s="101"/>
      <c r="D266" s="10"/>
      <c r="E266" s="10"/>
      <c r="F266" s="39"/>
      <c r="G266" s="39"/>
      <c r="H266" s="39"/>
      <c r="I266" s="39"/>
      <c r="J266" s="102"/>
      <c r="K266" s="10"/>
      <c r="L266" s="97"/>
      <c r="M266" s="98"/>
    </row>
    <row r="267" spans="1:13" s="12" customFormat="1" ht="33" customHeight="1" x14ac:dyDescent="0.2">
      <c r="A267" s="94"/>
      <c r="B267" s="95"/>
      <c r="C267" s="101" t="s">
        <v>834</v>
      </c>
      <c r="D267" s="10"/>
      <c r="E267" s="10"/>
      <c r="F267" s="39"/>
      <c r="G267" s="39">
        <f>+G3+G110+G181+G213</f>
        <v>89900</v>
      </c>
      <c r="H267" s="39"/>
      <c r="I267" s="99">
        <f>+I3+I110+I181+I213</f>
        <v>1158005.1359999999</v>
      </c>
      <c r="J267" s="96"/>
      <c r="K267" s="10"/>
      <c r="L267" s="97"/>
      <c r="M267" s="98"/>
    </row>
    <row r="268" spans="1:13" s="12" customFormat="1" ht="28.5" x14ac:dyDescent="0.2">
      <c r="A268" s="94"/>
      <c r="B268" s="95"/>
      <c r="C268" s="101" t="s">
        <v>835</v>
      </c>
      <c r="D268" s="10"/>
      <c r="E268" s="10"/>
      <c r="F268" s="39"/>
      <c r="G268" s="103">
        <f>+G108+G179+G211+G264</f>
        <v>46345.401152344995</v>
      </c>
      <c r="H268" s="39"/>
      <c r="I268" s="103">
        <f>+I108+I179+I211+I264</f>
        <v>532514.956014</v>
      </c>
      <c r="J268" s="104"/>
      <c r="K268" s="100"/>
      <c r="L268" s="105">
        <f>+L108+L179+L211+L264</f>
        <v>2359</v>
      </c>
      <c r="M268" s="98"/>
    </row>
    <row r="269" spans="1:13" s="12" customFormat="1" ht="47.25" customHeight="1" thickBot="1" x14ac:dyDescent="0.25">
      <c r="A269" s="106"/>
      <c r="B269" s="107"/>
      <c r="C269" s="108" t="s">
        <v>836</v>
      </c>
      <c r="D269" s="109"/>
      <c r="E269" s="109"/>
      <c r="F269" s="110"/>
      <c r="G269" s="110">
        <f>+G265+G212+G180+G109</f>
        <v>43554.598847655005</v>
      </c>
      <c r="H269" s="110"/>
      <c r="I269" s="110">
        <f>+I265+I212+I180+I109</f>
        <v>625490.17998600006</v>
      </c>
      <c r="J269" s="111"/>
      <c r="K269" s="109"/>
      <c r="L269" s="112"/>
      <c r="M269" s="113"/>
    </row>
    <row r="270" spans="1:13" x14ac:dyDescent="0.25">
      <c r="F270" s="115"/>
      <c r="G270" s="115"/>
      <c r="H270" s="115"/>
      <c r="I270" s="116"/>
    </row>
  </sheetData>
  <mergeCells count="1">
    <mergeCell ref="A1:M1"/>
  </mergeCells>
  <pageMargins left="0.7" right="0.7" top="0.75" bottom="0.75" header="0.3" footer="0.3"/>
  <pageSetup paperSize="9" scale="22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2"/>
  <sheetViews>
    <sheetView tabSelected="1" view="pageBreakPreview" topLeftCell="A157" zoomScale="85" zoomScaleNormal="70" zoomScaleSheetLayoutView="85" workbookViewId="0">
      <selection activeCell="B2" sqref="B1:B1048576"/>
    </sheetView>
  </sheetViews>
  <sheetFormatPr defaultColWidth="9.140625" defaultRowHeight="15" x14ac:dyDescent="0.25"/>
  <cols>
    <col min="1" max="1" width="5.140625" style="119" bestFit="1" customWidth="1"/>
    <col min="2" max="2" width="3.7109375" style="119" customWidth="1"/>
    <col min="3" max="3" width="46.85546875" style="120" customWidth="1"/>
    <col min="4" max="4" width="25.7109375" style="121" customWidth="1"/>
    <col min="5" max="5" width="22.28515625" style="121" customWidth="1"/>
    <col min="6" max="6" width="15.85546875" style="20" customWidth="1"/>
    <col min="7" max="7" width="15.5703125" style="20" customWidth="1"/>
    <col min="8" max="8" width="15.7109375" style="20" customWidth="1"/>
    <col min="9" max="9" width="15.5703125" style="20" customWidth="1"/>
    <col min="10" max="10" width="21.140625" style="121" bestFit="1" customWidth="1"/>
    <col min="11" max="11" width="48" style="121" customWidth="1"/>
    <col min="12" max="12" width="15.5703125" style="119" customWidth="1"/>
    <col min="13" max="13" width="12.5703125" style="124" customWidth="1"/>
    <col min="14" max="16384" width="9.140625" style="20"/>
  </cols>
  <sheetData>
    <row r="1" spans="1:13" ht="41.25" customHeight="1" thickBot="1" x14ac:dyDescent="0.3">
      <c r="A1" s="193" t="s">
        <v>1382</v>
      </c>
      <c r="B1" s="193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</row>
    <row r="2" spans="1:13" s="128" customFormat="1" ht="72" thickBot="1" x14ac:dyDescent="0.3">
      <c r="A2" s="125" t="s">
        <v>0</v>
      </c>
      <c r="B2" s="125"/>
      <c r="C2" s="125" t="s">
        <v>1</v>
      </c>
      <c r="D2" s="125" t="s">
        <v>2</v>
      </c>
      <c r="E2" s="125" t="s">
        <v>3</v>
      </c>
      <c r="F2" s="125" t="s">
        <v>838</v>
      </c>
      <c r="G2" s="125" t="s">
        <v>839</v>
      </c>
      <c r="H2" s="125" t="s">
        <v>840</v>
      </c>
      <c r="I2" s="125" t="s">
        <v>7</v>
      </c>
      <c r="J2" s="126" t="s">
        <v>8</v>
      </c>
      <c r="K2" s="125" t="s">
        <v>9</v>
      </c>
      <c r="L2" s="125" t="s">
        <v>10</v>
      </c>
      <c r="M2" s="127" t="s">
        <v>11</v>
      </c>
    </row>
    <row r="3" spans="1:13" s="72" customFormat="1" ht="15.75" x14ac:dyDescent="0.25">
      <c r="A3" s="129"/>
      <c r="B3" s="129"/>
      <c r="C3" s="130" t="s">
        <v>841</v>
      </c>
      <c r="D3" s="131"/>
      <c r="E3" s="131"/>
      <c r="F3" s="132"/>
      <c r="G3" s="133">
        <f>50000+30000</f>
        <v>80000</v>
      </c>
      <c r="H3" s="132"/>
      <c r="I3" s="134"/>
      <c r="J3" s="135"/>
      <c r="K3" s="131"/>
      <c r="L3" s="129"/>
      <c r="M3" s="136"/>
    </row>
    <row r="4" spans="1:13" s="72" customFormat="1" ht="30" x14ac:dyDescent="0.2">
      <c r="A4" s="31">
        <v>1</v>
      </c>
      <c r="B4" s="31">
        <v>1</v>
      </c>
      <c r="C4" s="137" t="s">
        <v>842</v>
      </c>
      <c r="D4" s="138" t="s">
        <v>253</v>
      </c>
      <c r="E4" s="138" t="s">
        <v>800</v>
      </c>
      <c r="F4" s="139">
        <f t="shared" ref="F4:F15" si="0">+G4+H4</f>
        <v>153.61706702317198</v>
      </c>
      <c r="G4" s="139">
        <f>I4/12.66961</f>
        <v>78.929027807485781</v>
      </c>
      <c r="H4" s="139">
        <v>74.688039215686203</v>
      </c>
      <c r="I4" s="140">
        <v>1000</v>
      </c>
      <c r="J4" s="141" t="s">
        <v>843</v>
      </c>
      <c r="K4" s="138" t="s">
        <v>844</v>
      </c>
      <c r="L4" s="142">
        <v>7</v>
      </c>
      <c r="M4" s="143" t="s">
        <v>845</v>
      </c>
    </row>
    <row r="5" spans="1:13" s="72" customFormat="1" ht="60" x14ac:dyDescent="0.2">
      <c r="A5" s="31">
        <v>2</v>
      </c>
      <c r="B5" s="31">
        <v>2</v>
      </c>
      <c r="C5" s="137" t="s">
        <v>846</v>
      </c>
      <c r="D5" s="138" t="s">
        <v>324</v>
      </c>
      <c r="E5" s="138" t="s">
        <v>847</v>
      </c>
      <c r="F5" s="139">
        <f t="shared" si="0"/>
        <v>1502.2949364705787</v>
      </c>
      <c r="G5" s="139">
        <f>I5/12.66961</f>
        <v>868.21930588234363</v>
      </c>
      <c r="H5" s="139">
        <v>634.07563058823496</v>
      </c>
      <c r="I5" s="140">
        <v>11000</v>
      </c>
      <c r="J5" s="141" t="s">
        <v>848</v>
      </c>
      <c r="K5" s="138" t="s">
        <v>849</v>
      </c>
      <c r="L5" s="31">
        <v>30</v>
      </c>
      <c r="M5" s="145" t="s">
        <v>850</v>
      </c>
    </row>
    <row r="6" spans="1:13" s="72" customFormat="1" ht="75" x14ac:dyDescent="0.2">
      <c r="A6" s="31">
        <v>3</v>
      </c>
      <c r="B6" s="31">
        <v>3</v>
      </c>
      <c r="C6" s="137" t="s">
        <v>851</v>
      </c>
      <c r="D6" s="138" t="s">
        <v>324</v>
      </c>
      <c r="E6" s="138" t="s">
        <v>852</v>
      </c>
      <c r="F6" s="139">
        <f t="shared" si="0"/>
        <v>1675.3703814699377</v>
      </c>
      <c r="G6" s="139">
        <f>I6/12.66961</f>
        <v>868.21930588234363</v>
      </c>
      <c r="H6" s="139">
        <v>807.15107558759405</v>
      </c>
      <c r="I6" s="140">
        <v>11000</v>
      </c>
      <c r="J6" s="141" t="s">
        <v>848</v>
      </c>
      <c r="K6" s="138" t="s">
        <v>853</v>
      </c>
      <c r="L6" s="31">
        <v>33</v>
      </c>
      <c r="M6" s="145" t="s">
        <v>854</v>
      </c>
    </row>
    <row r="7" spans="1:13" s="72" customFormat="1" ht="45" x14ac:dyDescent="0.2">
      <c r="A7" s="31">
        <v>4</v>
      </c>
      <c r="B7" s="31">
        <v>4</v>
      </c>
      <c r="C7" s="146" t="s">
        <v>855</v>
      </c>
      <c r="D7" s="138" t="s">
        <v>856</v>
      </c>
      <c r="E7" s="138" t="s">
        <v>264</v>
      </c>
      <c r="F7" s="139">
        <f t="shared" si="0"/>
        <v>246.50681249824078</v>
      </c>
      <c r="G7" s="147">
        <f>I7/12.62479</f>
        <v>157.23033808879197</v>
      </c>
      <c r="H7" s="147">
        <v>89.276474409448795</v>
      </c>
      <c r="I7" s="140">
        <v>1985</v>
      </c>
      <c r="J7" s="141" t="s">
        <v>848</v>
      </c>
      <c r="K7" s="138" t="s">
        <v>857</v>
      </c>
      <c r="L7" s="31">
        <v>7</v>
      </c>
      <c r="M7" s="145" t="s">
        <v>858</v>
      </c>
    </row>
    <row r="8" spans="1:13" s="72" customFormat="1" ht="30" x14ac:dyDescent="0.2">
      <c r="A8" s="31">
        <v>5</v>
      </c>
      <c r="B8" s="31">
        <v>5</v>
      </c>
      <c r="C8" s="146" t="s">
        <v>859</v>
      </c>
      <c r="D8" s="138" t="s">
        <v>26</v>
      </c>
      <c r="E8" s="138" t="s">
        <v>860</v>
      </c>
      <c r="F8" s="139">
        <f t="shared" si="0"/>
        <v>695.67980480558697</v>
      </c>
      <c r="G8" s="147">
        <f>I8/12.53005</f>
        <v>415.00233438813098</v>
      </c>
      <c r="H8" s="147">
        <v>280.67747041745599</v>
      </c>
      <c r="I8" s="140">
        <v>5200</v>
      </c>
      <c r="J8" s="141" t="s">
        <v>848</v>
      </c>
      <c r="K8" s="138" t="s">
        <v>861</v>
      </c>
      <c r="L8" s="31">
        <v>5</v>
      </c>
      <c r="M8" s="145" t="s">
        <v>862</v>
      </c>
    </row>
    <row r="9" spans="1:13" s="72" customFormat="1" ht="15.75" x14ac:dyDescent="0.2">
      <c r="A9" s="31">
        <v>6</v>
      </c>
      <c r="B9" s="31">
        <v>6</v>
      </c>
      <c r="C9" s="146" t="s">
        <v>526</v>
      </c>
      <c r="D9" s="138" t="s">
        <v>856</v>
      </c>
      <c r="E9" s="138" t="s">
        <v>863</v>
      </c>
      <c r="F9" s="139">
        <f t="shared" si="0"/>
        <v>727.12790100513848</v>
      </c>
      <c r="G9" s="148">
        <f>I9/12.60965</f>
        <v>251.79128683191047</v>
      </c>
      <c r="H9" s="148">
        <v>475.33661417322799</v>
      </c>
      <c r="I9" s="140">
        <v>3175</v>
      </c>
      <c r="J9" s="141" t="s">
        <v>864</v>
      </c>
      <c r="K9" s="138" t="s">
        <v>865</v>
      </c>
      <c r="L9" s="31">
        <v>5</v>
      </c>
      <c r="M9" s="145" t="s">
        <v>528</v>
      </c>
    </row>
    <row r="10" spans="1:13" s="72" customFormat="1" ht="30" x14ac:dyDescent="0.2">
      <c r="A10" s="31">
        <v>7</v>
      </c>
      <c r="B10" s="31">
        <v>7</v>
      </c>
      <c r="C10" s="146" t="s">
        <v>866</v>
      </c>
      <c r="D10" s="138" t="s">
        <v>48</v>
      </c>
      <c r="E10" s="138" t="s">
        <v>530</v>
      </c>
      <c r="F10" s="139">
        <f t="shared" si="0"/>
        <v>33.896234575421119</v>
      </c>
      <c r="G10" s="148">
        <f>I10/12.68964</f>
        <v>23.64133261463682</v>
      </c>
      <c r="H10" s="148">
        <v>10.2549019607843</v>
      </c>
      <c r="I10" s="140">
        <v>300</v>
      </c>
      <c r="J10" s="141" t="s">
        <v>864</v>
      </c>
      <c r="K10" s="138" t="s">
        <v>867</v>
      </c>
      <c r="L10" s="31">
        <v>5</v>
      </c>
      <c r="M10" s="145" t="s">
        <v>868</v>
      </c>
    </row>
    <row r="11" spans="1:13" s="72" customFormat="1" ht="15.75" x14ac:dyDescent="0.2">
      <c r="A11" s="31">
        <v>8</v>
      </c>
      <c r="B11" s="31">
        <v>8</v>
      </c>
      <c r="C11" s="146" t="s">
        <v>869</v>
      </c>
      <c r="D11" s="138" t="s">
        <v>441</v>
      </c>
      <c r="E11" s="138" t="s">
        <v>870</v>
      </c>
      <c r="F11" s="139">
        <f t="shared" si="0"/>
        <v>136.5075585804868</v>
      </c>
      <c r="G11" s="148">
        <f>I11/12.60005</f>
        <v>95.237717310645593</v>
      </c>
      <c r="H11" s="148">
        <v>41.269841269841201</v>
      </c>
      <c r="I11" s="140">
        <v>1200</v>
      </c>
      <c r="J11" s="141" t="s">
        <v>848</v>
      </c>
      <c r="K11" s="138" t="s">
        <v>871</v>
      </c>
      <c r="L11" s="31">
        <v>4</v>
      </c>
      <c r="M11" s="145" t="s">
        <v>872</v>
      </c>
    </row>
    <row r="12" spans="1:13" s="72" customFormat="1" ht="30" x14ac:dyDescent="0.2">
      <c r="A12" s="31">
        <v>9</v>
      </c>
      <c r="B12" s="31">
        <v>9</v>
      </c>
      <c r="C12" s="137" t="s">
        <v>873</v>
      </c>
      <c r="D12" s="138" t="s">
        <v>32</v>
      </c>
      <c r="E12" s="138" t="s">
        <v>874</v>
      </c>
      <c r="F12" s="139">
        <f t="shared" si="0"/>
        <v>370.14751102302654</v>
      </c>
      <c r="G12" s="148">
        <f>I12/12.57851</f>
        <v>159.00134435636653</v>
      </c>
      <c r="H12" s="148">
        <v>211.14616666666001</v>
      </c>
      <c r="I12" s="140">
        <v>2000</v>
      </c>
      <c r="J12" s="141" t="s">
        <v>843</v>
      </c>
      <c r="K12" s="138" t="s">
        <v>875</v>
      </c>
      <c r="L12" s="31">
        <v>10</v>
      </c>
      <c r="M12" s="145" t="s">
        <v>876</v>
      </c>
    </row>
    <row r="13" spans="1:13" s="72" customFormat="1" ht="75" x14ac:dyDescent="0.2">
      <c r="A13" s="31">
        <v>10</v>
      </c>
      <c r="B13" s="31">
        <v>10</v>
      </c>
      <c r="C13" s="146" t="s">
        <v>877</v>
      </c>
      <c r="D13" s="16" t="s">
        <v>230</v>
      </c>
      <c r="E13" s="138" t="s">
        <v>878</v>
      </c>
      <c r="F13" s="139">
        <f t="shared" si="0"/>
        <v>353.37821572647465</v>
      </c>
      <c r="G13" s="148">
        <f>I13/12.51902</f>
        <v>247.62321651375268</v>
      </c>
      <c r="H13" s="148">
        <v>105.754999212722</v>
      </c>
      <c r="I13" s="140">
        <v>3100</v>
      </c>
      <c r="J13" s="141" t="s">
        <v>848</v>
      </c>
      <c r="K13" s="138" t="s">
        <v>879</v>
      </c>
      <c r="L13" s="31">
        <v>2</v>
      </c>
      <c r="M13" s="145" t="s">
        <v>880</v>
      </c>
    </row>
    <row r="14" spans="1:13" s="72" customFormat="1" ht="45" x14ac:dyDescent="0.2">
      <c r="A14" s="31">
        <v>11</v>
      </c>
      <c r="B14" s="31">
        <v>11</v>
      </c>
      <c r="C14" s="137" t="s">
        <v>881</v>
      </c>
      <c r="D14" s="16" t="s">
        <v>225</v>
      </c>
      <c r="E14" s="138" t="s">
        <v>882</v>
      </c>
      <c r="F14" s="139">
        <f t="shared" si="0"/>
        <v>170.52141530159832</v>
      </c>
      <c r="G14" s="148">
        <f>I14/12.62475</f>
        <v>87.130438226499535</v>
      </c>
      <c r="H14" s="148">
        <v>83.390977075098803</v>
      </c>
      <c r="I14" s="140">
        <v>1100</v>
      </c>
      <c r="J14" s="141" t="s">
        <v>843</v>
      </c>
      <c r="K14" s="138" t="s">
        <v>883</v>
      </c>
      <c r="L14" s="31">
        <v>8</v>
      </c>
      <c r="M14" s="145" t="s">
        <v>884</v>
      </c>
    </row>
    <row r="15" spans="1:13" s="72" customFormat="1" ht="45" x14ac:dyDescent="0.2">
      <c r="A15" s="31">
        <v>12</v>
      </c>
      <c r="B15" s="31">
        <v>12</v>
      </c>
      <c r="C15" s="146" t="s">
        <v>478</v>
      </c>
      <c r="D15" s="138" t="s">
        <v>253</v>
      </c>
      <c r="E15" s="138" t="s">
        <v>885</v>
      </c>
      <c r="F15" s="139">
        <f t="shared" si="0"/>
        <v>922.41821380978877</v>
      </c>
      <c r="G15" s="148">
        <f>I15/12.65169</f>
        <v>250.20372772333181</v>
      </c>
      <c r="H15" s="148">
        <v>672.21448608645699</v>
      </c>
      <c r="I15" s="140">
        <v>3165.5</v>
      </c>
      <c r="J15" s="141" t="s">
        <v>843</v>
      </c>
      <c r="K15" s="138" t="s">
        <v>886</v>
      </c>
      <c r="L15" s="31">
        <v>2</v>
      </c>
      <c r="M15" s="145" t="s">
        <v>481</v>
      </c>
    </row>
    <row r="16" spans="1:13" s="72" customFormat="1" ht="15.75" x14ac:dyDescent="0.2">
      <c r="A16" s="31">
        <v>13</v>
      </c>
      <c r="B16" s="31">
        <v>13</v>
      </c>
      <c r="C16" s="146" t="s">
        <v>887</v>
      </c>
      <c r="D16" s="16" t="s">
        <v>230</v>
      </c>
      <c r="E16" s="138" t="s">
        <v>543</v>
      </c>
      <c r="F16" s="139">
        <f>G16+H16</f>
        <v>79.074383286840174</v>
      </c>
      <c r="G16" s="148">
        <f>I16/12.63268</f>
        <v>39.579883286840165</v>
      </c>
      <c r="H16" s="148">
        <v>39.494500000000002</v>
      </c>
      <c r="I16" s="140">
        <v>500</v>
      </c>
      <c r="J16" s="141" t="s">
        <v>848</v>
      </c>
      <c r="K16" s="138" t="s">
        <v>888</v>
      </c>
      <c r="L16" s="31">
        <v>3</v>
      </c>
      <c r="M16" s="145" t="s">
        <v>889</v>
      </c>
    </row>
    <row r="17" spans="1:13" s="72" customFormat="1" ht="15.75" x14ac:dyDescent="0.2">
      <c r="A17" s="31">
        <v>14</v>
      </c>
      <c r="B17" s="31">
        <v>14</v>
      </c>
      <c r="C17" s="146" t="s">
        <v>890</v>
      </c>
      <c r="D17" s="29" t="s">
        <v>26</v>
      </c>
      <c r="E17" s="138" t="s">
        <v>121</v>
      </c>
      <c r="F17" s="139">
        <f>G17+H17</f>
        <v>71.214981332709769</v>
      </c>
      <c r="G17" s="148">
        <f>I17/12.61565</f>
        <v>35.669981332709767</v>
      </c>
      <c r="H17" s="148">
        <v>35.545000000000002</v>
      </c>
      <c r="I17" s="140">
        <v>450</v>
      </c>
      <c r="J17" s="141" t="s">
        <v>848</v>
      </c>
      <c r="K17" s="138" t="s">
        <v>891</v>
      </c>
      <c r="L17" s="31">
        <v>4</v>
      </c>
      <c r="M17" s="145" t="s">
        <v>892</v>
      </c>
    </row>
    <row r="18" spans="1:13" s="72" customFormat="1" ht="60" x14ac:dyDescent="0.2">
      <c r="A18" s="31">
        <v>15</v>
      </c>
      <c r="B18" s="31">
        <v>15</v>
      </c>
      <c r="C18" s="137" t="s">
        <v>893</v>
      </c>
      <c r="D18" s="29" t="s">
        <v>225</v>
      </c>
      <c r="E18" s="138" t="s">
        <v>894</v>
      </c>
      <c r="F18" s="139">
        <f t="shared" ref="F18:F73" si="1">+G18+H18</f>
        <v>6729.7349463709179</v>
      </c>
      <c r="G18" s="148">
        <f>I18/12.68253</f>
        <v>2944.9959905476276</v>
      </c>
      <c r="H18" s="148">
        <v>3784.7389558232899</v>
      </c>
      <c r="I18" s="140">
        <v>37350</v>
      </c>
      <c r="J18" s="141" t="s">
        <v>843</v>
      </c>
      <c r="K18" s="138" t="s">
        <v>895</v>
      </c>
      <c r="L18" s="31">
        <v>102</v>
      </c>
      <c r="M18" s="145" t="s">
        <v>896</v>
      </c>
    </row>
    <row r="19" spans="1:13" s="72" customFormat="1" ht="90" x14ac:dyDescent="0.2">
      <c r="A19" s="31">
        <v>16</v>
      </c>
      <c r="B19" s="31">
        <v>16</v>
      </c>
      <c r="C19" s="146" t="s">
        <v>897</v>
      </c>
      <c r="D19" s="29" t="s">
        <v>26</v>
      </c>
      <c r="E19" s="138" t="s">
        <v>898</v>
      </c>
      <c r="F19" s="139">
        <f t="shared" si="1"/>
        <v>9843.3503075087228</v>
      </c>
      <c r="G19" s="148">
        <f>I19/12.68253</f>
        <v>1182.7293134729427</v>
      </c>
      <c r="H19" s="148">
        <v>8660.6209940357803</v>
      </c>
      <c r="I19" s="140">
        <v>15000</v>
      </c>
      <c r="J19" s="141" t="s">
        <v>843</v>
      </c>
      <c r="K19" s="138" t="s">
        <v>899</v>
      </c>
      <c r="L19" s="31">
        <v>10</v>
      </c>
      <c r="M19" s="145" t="s">
        <v>900</v>
      </c>
    </row>
    <row r="20" spans="1:13" s="72" customFormat="1" ht="15.75" x14ac:dyDescent="0.2">
      <c r="A20" s="31">
        <v>17</v>
      </c>
      <c r="B20" s="31">
        <v>17</v>
      </c>
      <c r="C20" s="146" t="s">
        <v>901</v>
      </c>
      <c r="D20" s="29" t="s">
        <v>26</v>
      </c>
      <c r="E20" s="138" t="s">
        <v>272</v>
      </c>
      <c r="F20" s="139">
        <f t="shared" si="1"/>
        <v>8741.0147054070567</v>
      </c>
      <c r="G20" s="148">
        <f>I20/12.68253</f>
        <v>2944.9959905476276</v>
      </c>
      <c r="H20" s="148">
        <v>5796.0187148594296</v>
      </c>
      <c r="I20" s="140">
        <v>37350</v>
      </c>
      <c r="J20" s="141" t="s">
        <v>843</v>
      </c>
      <c r="K20" s="138" t="s">
        <v>902</v>
      </c>
      <c r="L20" s="31">
        <v>10</v>
      </c>
      <c r="M20" s="145" t="s">
        <v>903</v>
      </c>
    </row>
    <row r="21" spans="1:13" s="72" customFormat="1" ht="15.75" x14ac:dyDescent="0.2">
      <c r="A21" s="31">
        <v>18</v>
      </c>
      <c r="B21" s="31">
        <v>18</v>
      </c>
      <c r="C21" s="146" t="s">
        <v>904</v>
      </c>
      <c r="D21" s="16" t="s">
        <v>20</v>
      </c>
      <c r="E21" s="138" t="s">
        <v>406</v>
      </c>
      <c r="F21" s="139">
        <f t="shared" si="1"/>
        <v>81.775603926420388</v>
      </c>
      <c r="G21" s="148">
        <f>I21/12.68964</f>
        <v>55.163109434152581</v>
      </c>
      <c r="H21" s="148">
        <v>26.6124944922678</v>
      </c>
      <c r="I21" s="140">
        <v>700</v>
      </c>
      <c r="J21" s="141" t="s">
        <v>848</v>
      </c>
      <c r="K21" s="138" t="s">
        <v>905</v>
      </c>
      <c r="L21" s="31">
        <v>9</v>
      </c>
      <c r="M21" s="145" t="s">
        <v>906</v>
      </c>
    </row>
    <row r="22" spans="1:13" s="72" customFormat="1" ht="15.75" x14ac:dyDescent="0.2">
      <c r="A22" s="31">
        <v>19</v>
      </c>
      <c r="B22" s="31">
        <v>19</v>
      </c>
      <c r="C22" s="146" t="s">
        <v>907</v>
      </c>
      <c r="D22" s="138" t="s">
        <v>856</v>
      </c>
      <c r="E22" s="138" t="s">
        <v>863</v>
      </c>
      <c r="F22" s="139">
        <f t="shared" si="1"/>
        <v>66.994132513113215</v>
      </c>
      <c r="G22" s="148">
        <f>I22/12.68964</f>
        <v>23.64133261463682</v>
      </c>
      <c r="H22" s="148">
        <v>43.352799898476398</v>
      </c>
      <c r="I22" s="140">
        <v>300</v>
      </c>
      <c r="J22" s="141" t="s">
        <v>848</v>
      </c>
      <c r="K22" s="138" t="s">
        <v>908</v>
      </c>
      <c r="L22" s="31">
        <v>3</v>
      </c>
      <c r="M22" s="145" t="s">
        <v>909</v>
      </c>
    </row>
    <row r="23" spans="1:13" s="72" customFormat="1" ht="15.75" x14ac:dyDescent="0.2">
      <c r="A23" s="31">
        <v>20</v>
      </c>
      <c r="B23" s="31">
        <v>20</v>
      </c>
      <c r="C23" s="146" t="s">
        <v>910</v>
      </c>
      <c r="D23" s="16" t="s">
        <v>230</v>
      </c>
      <c r="E23" s="138" t="s">
        <v>586</v>
      </c>
      <c r="F23" s="139">
        <f t="shared" si="1"/>
        <v>56.743202255935401</v>
      </c>
      <c r="G23" s="148">
        <f>I23/12.68964</f>
        <v>39.402221024394699</v>
      </c>
      <c r="H23" s="148">
        <v>17.340981231540699</v>
      </c>
      <c r="I23" s="140">
        <v>500</v>
      </c>
      <c r="J23" s="141" t="s">
        <v>848</v>
      </c>
      <c r="K23" s="138" t="s">
        <v>911</v>
      </c>
      <c r="L23" s="31">
        <v>2</v>
      </c>
      <c r="M23" s="145" t="s">
        <v>912</v>
      </c>
    </row>
    <row r="24" spans="1:13" s="72" customFormat="1" ht="30" x14ac:dyDescent="0.2">
      <c r="A24" s="31">
        <v>21</v>
      </c>
      <c r="B24" s="31">
        <v>21</v>
      </c>
      <c r="C24" s="146" t="s">
        <v>913</v>
      </c>
      <c r="D24" s="138" t="s">
        <v>441</v>
      </c>
      <c r="E24" s="138" t="s">
        <v>914</v>
      </c>
      <c r="F24" s="139">
        <f t="shared" si="1"/>
        <v>118.12785906497569</v>
      </c>
      <c r="G24" s="148">
        <f>I24/12.68964</f>
        <v>78.804442048789397</v>
      </c>
      <c r="H24" s="148">
        <v>39.323417016186298</v>
      </c>
      <c r="I24" s="140">
        <v>1000</v>
      </c>
      <c r="J24" s="141" t="s">
        <v>848</v>
      </c>
      <c r="K24" s="138" t="s">
        <v>915</v>
      </c>
      <c r="L24" s="31">
        <v>12</v>
      </c>
      <c r="M24" s="145" t="s">
        <v>916</v>
      </c>
    </row>
    <row r="25" spans="1:13" s="72" customFormat="1" ht="15.75" x14ac:dyDescent="0.2">
      <c r="A25" s="31">
        <v>22</v>
      </c>
      <c r="B25" s="31">
        <v>22</v>
      </c>
      <c r="C25" s="146" t="s">
        <v>917</v>
      </c>
      <c r="D25" s="138" t="s">
        <v>253</v>
      </c>
      <c r="E25" s="29" t="s">
        <v>918</v>
      </c>
      <c r="F25" s="139">
        <f t="shared" si="1"/>
        <v>2522.7052689962729</v>
      </c>
      <c r="G25" s="148">
        <f>I25/12.68999</f>
        <v>788.02268559707295</v>
      </c>
      <c r="H25" s="148">
        <v>1734.6825833992</v>
      </c>
      <c r="I25" s="140">
        <v>10000</v>
      </c>
      <c r="J25" s="141" t="s">
        <v>864</v>
      </c>
      <c r="K25" s="138" t="s">
        <v>919</v>
      </c>
      <c r="L25" s="31">
        <v>10</v>
      </c>
      <c r="M25" s="145" t="s">
        <v>444</v>
      </c>
    </row>
    <row r="26" spans="1:13" s="72" customFormat="1" ht="30" x14ac:dyDescent="0.2">
      <c r="A26" s="31">
        <v>23</v>
      </c>
      <c r="B26" s="31">
        <v>23</v>
      </c>
      <c r="C26" s="146" t="s">
        <v>920</v>
      </c>
      <c r="D26" s="29" t="s">
        <v>26</v>
      </c>
      <c r="E26" s="138" t="s">
        <v>921</v>
      </c>
      <c r="F26" s="139">
        <f t="shared" si="1"/>
        <v>149.63081502000773</v>
      </c>
      <c r="G26" s="148">
        <f>I26/12.76141</f>
        <v>101.86962099015705</v>
      </c>
      <c r="H26" s="148">
        <v>47.761194029850699</v>
      </c>
      <c r="I26" s="140">
        <v>1300</v>
      </c>
      <c r="J26" s="141" t="s">
        <v>843</v>
      </c>
      <c r="K26" s="138" t="s">
        <v>922</v>
      </c>
      <c r="L26" s="31">
        <v>17</v>
      </c>
      <c r="M26" s="145" t="s">
        <v>923</v>
      </c>
    </row>
    <row r="27" spans="1:13" s="72" customFormat="1" ht="30" x14ac:dyDescent="0.2">
      <c r="A27" s="31">
        <v>24</v>
      </c>
      <c r="B27" s="31">
        <v>24</v>
      </c>
      <c r="C27" s="146" t="s">
        <v>581</v>
      </c>
      <c r="D27" s="29" t="s">
        <v>32</v>
      </c>
      <c r="E27" s="138" t="s">
        <v>582</v>
      </c>
      <c r="F27" s="139">
        <f t="shared" si="1"/>
        <v>1312.9802540741482</v>
      </c>
      <c r="G27" s="148">
        <f>+I27/12.76141</f>
        <v>295.46499955725898</v>
      </c>
      <c r="H27" s="148">
        <f>12952.96919/12.73</f>
        <v>1017.5152545168892</v>
      </c>
      <c r="I27" s="140">
        <v>3770.55</v>
      </c>
      <c r="J27" s="141" t="s">
        <v>843</v>
      </c>
      <c r="K27" s="138" t="s">
        <v>924</v>
      </c>
      <c r="L27" s="31">
        <v>30</v>
      </c>
      <c r="M27" s="145" t="s">
        <v>584</v>
      </c>
    </row>
    <row r="28" spans="1:13" s="72" customFormat="1" ht="15.75" x14ac:dyDescent="0.2">
      <c r="A28" s="31">
        <v>25</v>
      </c>
      <c r="B28" s="31">
        <v>25</v>
      </c>
      <c r="C28" s="146" t="s">
        <v>925</v>
      </c>
      <c r="D28" s="138" t="s">
        <v>253</v>
      </c>
      <c r="E28" s="138" t="s">
        <v>926</v>
      </c>
      <c r="F28" s="139">
        <f t="shared" si="1"/>
        <v>670.44341097199185</v>
      </c>
      <c r="G28" s="148">
        <f>+I28/12.76141</f>
        <v>258.59211482116791</v>
      </c>
      <c r="H28" s="148">
        <v>411.851296150824</v>
      </c>
      <c r="I28" s="140">
        <v>3300</v>
      </c>
      <c r="J28" s="141" t="s">
        <v>843</v>
      </c>
      <c r="K28" s="138" t="s">
        <v>927</v>
      </c>
      <c r="L28" s="31">
        <v>11</v>
      </c>
      <c r="M28" s="145" t="s">
        <v>928</v>
      </c>
    </row>
    <row r="29" spans="1:13" s="72" customFormat="1" ht="15.75" x14ac:dyDescent="0.2">
      <c r="A29" s="31">
        <v>26</v>
      </c>
      <c r="B29" s="31">
        <v>26</v>
      </c>
      <c r="C29" s="146" t="s">
        <v>929</v>
      </c>
      <c r="D29" s="16" t="s">
        <v>20</v>
      </c>
      <c r="E29" s="138" t="s">
        <v>406</v>
      </c>
      <c r="F29" s="139">
        <f t="shared" si="1"/>
        <v>151.00914437401892</v>
      </c>
      <c r="G29" s="148">
        <f>+I29/12.76141</f>
        <v>94.033496298606508</v>
      </c>
      <c r="H29" s="148">
        <v>56.975648075412401</v>
      </c>
      <c r="I29" s="140">
        <v>1200</v>
      </c>
      <c r="J29" s="141" t="s">
        <v>848</v>
      </c>
      <c r="K29" s="138" t="s">
        <v>930</v>
      </c>
      <c r="L29" s="31">
        <v>2</v>
      </c>
      <c r="M29" s="145" t="s">
        <v>931</v>
      </c>
    </row>
    <row r="30" spans="1:13" s="72" customFormat="1" ht="31.5" x14ac:dyDescent="0.2">
      <c r="A30" s="31">
        <v>27</v>
      </c>
      <c r="B30" s="31">
        <v>27</v>
      </c>
      <c r="C30" s="146" t="s">
        <v>932</v>
      </c>
      <c r="D30" s="16" t="s">
        <v>20</v>
      </c>
      <c r="E30" s="138" t="s">
        <v>406</v>
      </c>
      <c r="F30" s="139">
        <f t="shared" si="1"/>
        <v>218.31979093381733</v>
      </c>
      <c r="G30" s="148">
        <f>+I30/12.76141</f>
        <v>62.688997532404336</v>
      </c>
      <c r="H30" s="148">
        <v>155.630793401413</v>
      </c>
      <c r="I30" s="140">
        <v>800</v>
      </c>
      <c r="J30" s="141" t="s">
        <v>848</v>
      </c>
      <c r="K30" s="138" t="s">
        <v>933</v>
      </c>
      <c r="L30" s="31">
        <v>4</v>
      </c>
      <c r="M30" s="145" t="s">
        <v>934</v>
      </c>
    </row>
    <row r="31" spans="1:13" s="72" customFormat="1" ht="30" x14ac:dyDescent="0.2">
      <c r="A31" s="31">
        <v>28</v>
      </c>
      <c r="B31" s="31">
        <v>28</v>
      </c>
      <c r="C31" s="146" t="s">
        <v>935</v>
      </c>
      <c r="D31" s="29" t="s">
        <v>48</v>
      </c>
      <c r="E31" s="138" t="s">
        <v>936</v>
      </c>
      <c r="F31" s="139">
        <f t="shared" si="1"/>
        <v>119.66041408201639</v>
      </c>
      <c r="G31" s="148">
        <f>+I31/12.76141</f>
        <v>54.852872840853792</v>
      </c>
      <c r="H31" s="148">
        <v>64.807541241162596</v>
      </c>
      <c r="I31" s="140">
        <v>700</v>
      </c>
      <c r="J31" s="141" t="s">
        <v>848</v>
      </c>
      <c r="K31" s="138" t="s">
        <v>937</v>
      </c>
      <c r="L31" s="31">
        <v>7</v>
      </c>
      <c r="M31" s="145" t="s">
        <v>938</v>
      </c>
    </row>
    <row r="32" spans="1:13" s="72" customFormat="1" ht="15.75" x14ac:dyDescent="0.2">
      <c r="A32" s="31">
        <v>29</v>
      </c>
      <c r="B32" s="31">
        <v>29</v>
      </c>
      <c r="C32" s="146" t="s">
        <v>939</v>
      </c>
      <c r="D32" s="16" t="s">
        <v>230</v>
      </c>
      <c r="E32" s="138" t="s">
        <v>543</v>
      </c>
      <c r="F32" s="139">
        <f t="shared" si="1"/>
        <v>172.16244650974102</v>
      </c>
      <c r="G32" s="148">
        <f>+I32/12.76868</f>
        <v>117.47494650974103</v>
      </c>
      <c r="H32" s="148">
        <f>700/12.8</f>
        <v>54.6875</v>
      </c>
      <c r="I32" s="140">
        <v>1500</v>
      </c>
      <c r="J32" s="141" t="s">
        <v>848</v>
      </c>
      <c r="K32" s="138" t="s">
        <v>940</v>
      </c>
      <c r="L32" s="31">
        <v>10</v>
      </c>
      <c r="M32" s="145" t="s">
        <v>941</v>
      </c>
    </row>
    <row r="33" spans="1:13" s="72" customFormat="1" ht="60" x14ac:dyDescent="0.2">
      <c r="A33" s="31">
        <v>30</v>
      </c>
      <c r="B33" s="31">
        <v>30</v>
      </c>
      <c r="C33" s="146" t="s">
        <v>942</v>
      </c>
      <c r="D33" s="29" t="s">
        <v>14</v>
      </c>
      <c r="E33" s="138" t="s">
        <v>943</v>
      </c>
      <c r="F33" s="139">
        <f t="shared" si="1"/>
        <v>88.804370249487363</v>
      </c>
      <c r="G33" s="148">
        <f>+I33/12.81831</f>
        <v>62.410723410496388</v>
      </c>
      <c r="H33" s="148">
        <f>339/12.844</f>
        <v>26.393646838990971</v>
      </c>
      <c r="I33" s="140">
        <v>800</v>
      </c>
      <c r="J33" s="141" t="s">
        <v>944</v>
      </c>
      <c r="K33" s="138" t="s">
        <v>945</v>
      </c>
      <c r="L33" s="31">
        <v>2</v>
      </c>
      <c r="M33" s="145" t="s">
        <v>946</v>
      </c>
    </row>
    <row r="34" spans="1:13" s="72" customFormat="1" ht="15.75" x14ac:dyDescent="0.2">
      <c r="A34" s="31">
        <v>31</v>
      </c>
      <c r="B34" s="31">
        <v>31</v>
      </c>
      <c r="C34" s="146" t="s">
        <v>947</v>
      </c>
      <c r="D34" s="29" t="s">
        <v>225</v>
      </c>
      <c r="E34" s="138" t="s">
        <v>339</v>
      </c>
      <c r="F34" s="139">
        <f t="shared" si="1"/>
        <v>1187.8668963465461</v>
      </c>
      <c r="G34" s="148">
        <f>I34/12.77453</f>
        <v>336.60729592399878</v>
      </c>
      <c r="H34" s="148">
        <f>10902.9585/12.80803</f>
        <v>851.25960042254746</v>
      </c>
      <c r="I34" s="140">
        <v>4300</v>
      </c>
      <c r="J34" s="141" t="s">
        <v>848</v>
      </c>
      <c r="K34" s="138" t="s">
        <v>948</v>
      </c>
      <c r="L34" s="31">
        <v>2</v>
      </c>
      <c r="M34" s="145" t="s">
        <v>949</v>
      </c>
    </row>
    <row r="35" spans="1:13" s="72" customFormat="1" ht="45" x14ac:dyDescent="0.2">
      <c r="A35" s="31">
        <v>32</v>
      </c>
      <c r="B35" s="31">
        <v>32</v>
      </c>
      <c r="C35" s="146" t="s">
        <v>950</v>
      </c>
      <c r="D35" s="29" t="s">
        <v>225</v>
      </c>
      <c r="E35" s="138" t="s">
        <v>339</v>
      </c>
      <c r="F35" s="139">
        <f t="shared" si="1"/>
        <v>383.7709698070812</v>
      </c>
      <c r="G35" s="148">
        <f>I35/12.77453</f>
        <v>119.05953487134164</v>
      </c>
      <c r="H35" s="148">
        <f>3390.432/12.80803</f>
        <v>264.71143493573953</v>
      </c>
      <c r="I35" s="140">
        <v>1520.9295999999999</v>
      </c>
      <c r="J35" s="141" t="s">
        <v>944</v>
      </c>
      <c r="K35" s="138" t="s">
        <v>951</v>
      </c>
      <c r="L35" s="31">
        <v>27</v>
      </c>
      <c r="M35" s="145" t="s">
        <v>952</v>
      </c>
    </row>
    <row r="36" spans="1:13" s="72" customFormat="1" ht="105" x14ac:dyDescent="0.2">
      <c r="A36" s="31">
        <v>33</v>
      </c>
      <c r="B36" s="31">
        <v>33</v>
      </c>
      <c r="C36" s="146" t="s">
        <v>950</v>
      </c>
      <c r="D36" s="29" t="s">
        <v>225</v>
      </c>
      <c r="E36" s="138" t="s">
        <v>339</v>
      </c>
      <c r="F36" s="139">
        <f t="shared" si="1"/>
        <v>659.31198690162819</v>
      </c>
      <c r="G36" s="148">
        <f>I36/12.77453</f>
        <v>460.21813718391201</v>
      </c>
      <c r="H36" s="148">
        <f>2550/12.80803</f>
        <v>199.09384971771615</v>
      </c>
      <c r="I36" s="140">
        <v>5879.0703999999996</v>
      </c>
      <c r="J36" s="141" t="s">
        <v>944</v>
      </c>
      <c r="K36" s="138" t="s">
        <v>953</v>
      </c>
      <c r="L36" s="31">
        <v>27</v>
      </c>
      <c r="M36" s="145" t="s">
        <v>952</v>
      </c>
    </row>
    <row r="37" spans="1:13" s="72" customFormat="1" ht="15.75" x14ac:dyDescent="0.2">
      <c r="A37" s="31">
        <v>34</v>
      </c>
      <c r="B37" s="31">
        <v>34</v>
      </c>
      <c r="C37" s="146" t="s">
        <v>954</v>
      </c>
      <c r="D37" s="29" t="s">
        <v>14</v>
      </c>
      <c r="E37" s="138" t="s">
        <v>15</v>
      </c>
      <c r="F37" s="139">
        <f t="shared" si="1"/>
        <v>111.85345487772494</v>
      </c>
      <c r="G37" s="148">
        <f>I37/12.77453</f>
        <v>78.280766493953195</v>
      </c>
      <c r="H37" s="148">
        <f>430/12.80803</f>
        <v>33.572688383771741</v>
      </c>
      <c r="I37" s="140">
        <v>1000</v>
      </c>
      <c r="J37" s="141" t="s">
        <v>848</v>
      </c>
      <c r="K37" s="138" t="s">
        <v>955</v>
      </c>
      <c r="L37" s="31">
        <v>3</v>
      </c>
      <c r="M37" s="145" t="s">
        <v>956</v>
      </c>
    </row>
    <row r="38" spans="1:13" s="72" customFormat="1" ht="60" x14ac:dyDescent="0.2">
      <c r="A38" s="31">
        <v>35</v>
      </c>
      <c r="B38" s="31">
        <v>35</v>
      </c>
      <c r="C38" s="146" t="s">
        <v>957</v>
      </c>
      <c r="D38" s="29" t="s">
        <v>958</v>
      </c>
      <c r="E38" s="138" t="s">
        <v>272</v>
      </c>
      <c r="F38" s="139">
        <f t="shared" si="1"/>
        <v>4677.0188550396952</v>
      </c>
      <c r="G38" s="148">
        <f>I38/12.83932</f>
        <v>2936.2925762423552</v>
      </c>
      <c r="H38" s="148">
        <v>1740.72627879734</v>
      </c>
      <c r="I38" s="140">
        <v>37700</v>
      </c>
      <c r="J38" s="141" t="s">
        <v>843</v>
      </c>
      <c r="K38" s="138" t="s">
        <v>959</v>
      </c>
      <c r="L38" s="31">
        <v>64</v>
      </c>
      <c r="M38" s="145" t="s">
        <v>506</v>
      </c>
    </row>
    <row r="39" spans="1:13" s="72" customFormat="1" ht="30" x14ac:dyDescent="0.2">
      <c r="A39" s="31">
        <v>36</v>
      </c>
      <c r="B39" s="31">
        <v>36</v>
      </c>
      <c r="C39" s="137" t="s">
        <v>960</v>
      </c>
      <c r="D39" s="138" t="s">
        <v>856</v>
      </c>
      <c r="E39" s="138" t="s">
        <v>961</v>
      </c>
      <c r="F39" s="139">
        <f t="shared" si="1"/>
        <v>1113.7661496091694</v>
      </c>
      <c r="G39" s="148">
        <f>I39/12.83932</f>
        <v>778.85744727913936</v>
      </c>
      <c r="H39" s="148">
        <f>4300/12.83932</f>
        <v>334.90870233002994</v>
      </c>
      <c r="I39" s="140">
        <v>10000</v>
      </c>
      <c r="J39" s="141" t="s">
        <v>843</v>
      </c>
      <c r="K39" s="29" t="s">
        <v>962</v>
      </c>
      <c r="L39" s="31">
        <v>10</v>
      </c>
      <c r="M39" s="145" t="s">
        <v>963</v>
      </c>
    </row>
    <row r="40" spans="1:13" s="72" customFormat="1" ht="30" x14ac:dyDescent="0.2">
      <c r="A40" s="31">
        <v>37</v>
      </c>
      <c r="B40" s="31">
        <v>37</v>
      </c>
      <c r="C40" s="146" t="s">
        <v>964</v>
      </c>
      <c r="D40" s="29" t="s">
        <v>14</v>
      </c>
      <c r="E40" s="138" t="s">
        <v>965</v>
      </c>
      <c r="F40" s="139">
        <f t="shared" si="1"/>
        <v>111.43191383967374</v>
      </c>
      <c r="G40" s="148">
        <f>I40/12.83932</f>
        <v>77.885744727913931</v>
      </c>
      <c r="H40" s="148">
        <f>430.71/12.83932</f>
        <v>33.546169111759809</v>
      </c>
      <c r="I40" s="140">
        <v>1000</v>
      </c>
      <c r="J40" s="141" t="s">
        <v>843</v>
      </c>
      <c r="K40" s="29" t="s">
        <v>966</v>
      </c>
      <c r="L40" s="31">
        <v>3</v>
      </c>
      <c r="M40" s="145" t="s">
        <v>967</v>
      </c>
    </row>
    <row r="41" spans="1:13" s="72" customFormat="1" ht="15.75" x14ac:dyDescent="0.2">
      <c r="A41" s="31">
        <v>38</v>
      </c>
      <c r="B41" s="31">
        <v>38</v>
      </c>
      <c r="C41" s="146" t="s">
        <v>968</v>
      </c>
      <c r="D41" s="16" t="s">
        <v>20</v>
      </c>
      <c r="E41" s="138" t="s">
        <v>376</v>
      </c>
      <c r="F41" s="139">
        <f t="shared" si="1"/>
        <v>123.24196297000151</v>
      </c>
      <c r="G41" s="148">
        <f>I41/12.83932</f>
        <v>77.885744727913931</v>
      </c>
      <c r="H41" s="148">
        <f>582.343/12.83932</f>
        <v>45.356218242087579</v>
      </c>
      <c r="I41" s="140">
        <v>1000</v>
      </c>
      <c r="J41" s="141" t="s">
        <v>843</v>
      </c>
      <c r="K41" s="29" t="s">
        <v>969</v>
      </c>
      <c r="L41" s="31">
        <v>7</v>
      </c>
      <c r="M41" s="145" t="s">
        <v>970</v>
      </c>
    </row>
    <row r="42" spans="1:13" s="72" customFormat="1" ht="15.75" x14ac:dyDescent="0.2">
      <c r="A42" s="31">
        <v>39</v>
      </c>
      <c r="B42" s="31">
        <v>39</v>
      </c>
      <c r="C42" s="146" t="s">
        <v>971</v>
      </c>
      <c r="D42" s="29" t="s">
        <v>14</v>
      </c>
      <c r="E42" s="138" t="s">
        <v>15</v>
      </c>
      <c r="F42" s="139">
        <f t="shared" si="1"/>
        <v>560.6315599268496</v>
      </c>
      <c r="G42" s="148">
        <f>I42/12.83932</f>
        <v>233.65723418374179</v>
      </c>
      <c r="H42" s="148">
        <f>4198.128/12.83932</f>
        <v>326.97432574310784</v>
      </c>
      <c r="I42" s="140">
        <v>3000</v>
      </c>
      <c r="J42" s="141" t="s">
        <v>843</v>
      </c>
      <c r="K42" s="29" t="s">
        <v>972</v>
      </c>
      <c r="L42" s="31">
        <v>5</v>
      </c>
      <c r="M42" s="145" t="s">
        <v>973</v>
      </c>
    </row>
    <row r="43" spans="1:13" s="72" customFormat="1" ht="15.75" x14ac:dyDescent="0.2">
      <c r="A43" s="31">
        <v>40</v>
      </c>
      <c r="B43" s="31">
        <v>40</v>
      </c>
      <c r="C43" s="146" t="s">
        <v>974</v>
      </c>
      <c r="D43" s="138" t="s">
        <v>253</v>
      </c>
      <c r="E43" s="138" t="s">
        <v>975</v>
      </c>
      <c r="F43" s="139">
        <f t="shared" si="1"/>
        <v>237.38604496947841</v>
      </c>
      <c r="G43" s="148">
        <f>I43/12.84827</f>
        <v>155.6629803078547</v>
      </c>
      <c r="H43" s="148">
        <f>1050/12.84827</f>
        <v>81.72306466162371</v>
      </c>
      <c r="I43" s="140">
        <v>2000</v>
      </c>
      <c r="J43" s="141" t="s">
        <v>848</v>
      </c>
      <c r="K43" s="29" t="s">
        <v>976</v>
      </c>
      <c r="L43" s="31">
        <v>9</v>
      </c>
      <c r="M43" s="145" t="s">
        <v>977</v>
      </c>
    </row>
    <row r="44" spans="1:13" s="72" customFormat="1" ht="30" x14ac:dyDescent="0.2">
      <c r="A44" s="31">
        <v>41</v>
      </c>
      <c r="B44" s="31">
        <v>41</v>
      </c>
      <c r="C44" s="146" t="s">
        <v>978</v>
      </c>
      <c r="D44" s="138" t="s">
        <v>441</v>
      </c>
      <c r="E44" s="138" t="s">
        <v>979</v>
      </c>
      <c r="F44" s="139">
        <f t="shared" si="1"/>
        <v>68.965705110493474</v>
      </c>
      <c r="G44" s="148">
        <f>I44/12.84827</f>
        <v>48.255523895434955</v>
      </c>
      <c r="H44" s="148">
        <f>266.09/12.84827</f>
        <v>20.710181215058526</v>
      </c>
      <c r="I44" s="140">
        <v>620</v>
      </c>
      <c r="J44" s="141" t="s">
        <v>980</v>
      </c>
      <c r="K44" s="29" t="s">
        <v>981</v>
      </c>
      <c r="L44" s="31">
        <v>5</v>
      </c>
      <c r="M44" s="145" t="s">
        <v>982</v>
      </c>
    </row>
    <row r="45" spans="1:13" s="72" customFormat="1" ht="15.75" x14ac:dyDescent="0.2">
      <c r="A45" s="31">
        <v>42</v>
      </c>
      <c r="B45" s="31">
        <v>42</v>
      </c>
      <c r="C45" s="146" t="s">
        <v>983</v>
      </c>
      <c r="D45" s="29" t="s">
        <v>26</v>
      </c>
      <c r="E45" s="138" t="s">
        <v>121</v>
      </c>
      <c r="F45" s="139">
        <f t="shared" si="1"/>
        <v>121.26146165981881</v>
      </c>
      <c r="G45" s="148">
        <f>I45/12.84827</f>
        <v>77.831490153927348</v>
      </c>
      <c r="H45" s="148">
        <f>558/12.84827</f>
        <v>43.429971505891459</v>
      </c>
      <c r="I45" s="140">
        <v>1000</v>
      </c>
      <c r="J45" s="141" t="s">
        <v>848</v>
      </c>
      <c r="K45" s="29" t="s">
        <v>984</v>
      </c>
      <c r="L45" s="31">
        <v>64</v>
      </c>
      <c r="M45" s="145" t="s">
        <v>985</v>
      </c>
    </row>
    <row r="46" spans="1:13" s="72" customFormat="1" ht="15.75" x14ac:dyDescent="0.2">
      <c r="A46" s="31">
        <v>43</v>
      </c>
      <c r="B46" s="31">
        <v>43</v>
      </c>
      <c r="C46" s="146" t="s">
        <v>986</v>
      </c>
      <c r="D46" s="29" t="s">
        <v>14</v>
      </c>
      <c r="E46" s="138" t="s">
        <v>306</v>
      </c>
      <c r="F46" s="139">
        <f t="shared" si="1"/>
        <v>109.89206674218001</v>
      </c>
      <c r="G46" s="148">
        <f>I46/12.85424</f>
        <v>87.908736728114604</v>
      </c>
      <c r="H46" s="148">
        <f>282.579/12.85424</f>
        <v>21.983330014065398</v>
      </c>
      <c r="I46" s="140">
        <v>1130</v>
      </c>
      <c r="J46" s="141" t="s">
        <v>848</v>
      </c>
      <c r="K46" s="29" t="s">
        <v>987</v>
      </c>
      <c r="L46" s="31">
        <v>5</v>
      </c>
      <c r="M46" s="145" t="s">
        <v>988</v>
      </c>
    </row>
    <row r="47" spans="1:13" s="72" customFormat="1" ht="30" x14ac:dyDescent="0.2">
      <c r="A47" s="31">
        <v>44</v>
      </c>
      <c r="B47" s="31">
        <v>44</v>
      </c>
      <c r="C47" s="146" t="s">
        <v>989</v>
      </c>
      <c r="D47" s="29" t="s">
        <v>14</v>
      </c>
      <c r="E47" s="138" t="s">
        <v>303</v>
      </c>
      <c r="F47" s="139">
        <f t="shared" si="1"/>
        <v>77.562460060924536</v>
      </c>
      <c r="G47" s="148">
        <f>I47/12.89464</f>
        <v>54.286121985569196</v>
      </c>
      <c r="H47" s="148">
        <f>300.14/12.89464</f>
        <v>23.276338075355341</v>
      </c>
      <c r="I47" s="140">
        <v>700</v>
      </c>
      <c r="J47" s="141" t="s">
        <v>843</v>
      </c>
      <c r="K47" s="29" t="s">
        <v>990</v>
      </c>
      <c r="L47" s="31">
        <v>5</v>
      </c>
      <c r="M47" s="145" t="s">
        <v>991</v>
      </c>
    </row>
    <row r="48" spans="1:13" s="72" customFormat="1" ht="15.75" x14ac:dyDescent="0.2">
      <c r="A48" s="31">
        <v>45</v>
      </c>
      <c r="B48" s="31">
        <v>45</v>
      </c>
      <c r="C48" s="146" t="s">
        <v>992</v>
      </c>
      <c r="D48" s="138" t="s">
        <v>441</v>
      </c>
      <c r="E48" s="138" t="s">
        <v>914</v>
      </c>
      <c r="F48" s="139">
        <f t="shared" si="1"/>
        <v>156.94007550680891</v>
      </c>
      <c r="G48" s="148">
        <f>I48/12.89464</f>
        <v>108.57224397113839</v>
      </c>
      <c r="H48" s="148">
        <f>624.9356/12.92048</f>
        <v>48.367831535670504</v>
      </c>
      <c r="I48" s="140">
        <v>1400</v>
      </c>
      <c r="J48" s="141" t="s">
        <v>848</v>
      </c>
      <c r="K48" s="138" t="s">
        <v>993</v>
      </c>
      <c r="L48" s="31">
        <v>5</v>
      </c>
      <c r="M48" s="145" t="s">
        <v>994</v>
      </c>
    </row>
    <row r="49" spans="1:13" s="72" customFormat="1" ht="45" x14ac:dyDescent="0.2">
      <c r="A49" s="31">
        <v>46</v>
      </c>
      <c r="B49" s="31">
        <v>46</v>
      </c>
      <c r="C49" s="146" t="s">
        <v>995</v>
      </c>
      <c r="D49" s="138" t="s">
        <v>324</v>
      </c>
      <c r="E49" s="138" t="s">
        <v>996</v>
      </c>
      <c r="F49" s="139">
        <f t="shared" si="1"/>
        <v>332.49630046653743</v>
      </c>
      <c r="G49" s="148">
        <f>I49/12.89464</f>
        <v>232.65480850958227</v>
      </c>
      <c r="H49" s="148">
        <f>1290/12.92048</f>
        <v>99.841491956955167</v>
      </c>
      <c r="I49" s="140">
        <v>3000</v>
      </c>
      <c r="J49" s="141" t="s">
        <v>843</v>
      </c>
      <c r="K49" s="29" t="s">
        <v>997</v>
      </c>
      <c r="L49" s="31">
        <v>9</v>
      </c>
      <c r="M49" s="145" t="s">
        <v>998</v>
      </c>
    </row>
    <row r="50" spans="1:13" s="72" customFormat="1" ht="15.75" x14ac:dyDescent="0.2">
      <c r="A50" s="31">
        <v>47</v>
      </c>
      <c r="B50" s="31">
        <v>47</v>
      </c>
      <c r="C50" s="146" t="s">
        <v>999</v>
      </c>
      <c r="D50" s="138" t="s">
        <v>856</v>
      </c>
      <c r="E50" s="138" t="s">
        <v>1000</v>
      </c>
      <c r="F50" s="139">
        <f t="shared" si="1"/>
        <v>417.14381137237433</v>
      </c>
      <c r="G50" s="148">
        <f>I50/12.89464</f>
        <v>271.43060992784598</v>
      </c>
      <c r="H50" s="148">
        <f>1882.684505/12.92048</f>
        <v>145.71320144452838</v>
      </c>
      <c r="I50" s="140">
        <v>3500</v>
      </c>
      <c r="J50" s="141" t="s">
        <v>848</v>
      </c>
      <c r="K50" s="138" t="s">
        <v>1001</v>
      </c>
      <c r="L50" s="31">
        <v>8</v>
      </c>
      <c r="M50" s="145" t="s">
        <v>1002</v>
      </c>
    </row>
    <row r="51" spans="1:13" s="72" customFormat="1" ht="30" x14ac:dyDescent="0.2">
      <c r="A51" s="31">
        <v>48</v>
      </c>
      <c r="B51" s="31">
        <v>48</v>
      </c>
      <c r="C51" s="146" t="s">
        <v>1003</v>
      </c>
      <c r="D51" s="138" t="s">
        <v>441</v>
      </c>
      <c r="E51" s="29" t="s">
        <v>1004</v>
      </c>
      <c r="F51" s="139">
        <f t="shared" si="1"/>
        <v>1159.9941226964449</v>
      </c>
      <c r="G51" s="148">
        <f>I51/12.9311</f>
        <v>773.3294151309633</v>
      </c>
      <c r="H51" s="148">
        <f>5000/12.9311</f>
        <v>386.66470756548165</v>
      </c>
      <c r="I51" s="140">
        <v>10000</v>
      </c>
      <c r="J51" s="141" t="s">
        <v>843</v>
      </c>
      <c r="K51" s="29" t="s">
        <v>1005</v>
      </c>
      <c r="L51" s="31">
        <v>8</v>
      </c>
      <c r="M51" s="145" t="s">
        <v>1006</v>
      </c>
    </row>
    <row r="52" spans="1:13" s="72" customFormat="1" ht="15.75" x14ac:dyDescent="0.2">
      <c r="A52" s="31">
        <v>49</v>
      </c>
      <c r="B52" s="31">
        <v>49</v>
      </c>
      <c r="C52" s="146" t="s">
        <v>1007</v>
      </c>
      <c r="D52" s="138" t="s">
        <v>253</v>
      </c>
      <c r="E52" s="138" t="s">
        <v>776</v>
      </c>
      <c r="F52" s="139">
        <f t="shared" si="1"/>
        <v>1201.5219122889775</v>
      </c>
      <c r="G52" s="148">
        <f>I52/12.9311</f>
        <v>773.3294151309633</v>
      </c>
      <c r="H52" s="148">
        <f>5537/12.9311</f>
        <v>428.19249715801436</v>
      </c>
      <c r="I52" s="140">
        <v>10000</v>
      </c>
      <c r="J52" s="141" t="s">
        <v>848</v>
      </c>
      <c r="K52" s="29" t="s">
        <v>1008</v>
      </c>
      <c r="L52" s="31">
        <v>18</v>
      </c>
      <c r="M52" s="145" t="s">
        <v>1009</v>
      </c>
    </row>
    <row r="53" spans="1:13" s="72" customFormat="1" ht="30" x14ac:dyDescent="0.2">
      <c r="A53" s="31">
        <v>50</v>
      </c>
      <c r="B53" s="31">
        <v>50</v>
      </c>
      <c r="C53" s="146" t="s">
        <v>1010</v>
      </c>
      <c r="D53" s="138" t="s">
        <v>253</v>
      </c>
      <c r="E53" s="138" t="s">
        <v>776</v>
      </c>
      <c r="F53" s="139">
        <f t="shared" si="1"/>
        <v>1292.2941288830802</v>
      </c>
      <c r="G53" s="148">
        <f>I53/12.9311</f>
        <v>773.3294151309633</v>
      </c>
      <c r="H53" s="148">
        <f>6710.78461/12.9311</f>
        <v>518.96471375211695</v>
      </c>
      <c r="I53" s="140">
        <v>10000</v>
      </c>
      <c r="J53" s="141" t="s">
        <v>864</v>
      </c>
      <c r="K53" s="138" t="s">
        <v>1011</v>
      </c>
      <c r="L53" s="31">
        <v>4</v>
      </c>
      <c r="M53" s="145" t="s">
        <v>1012</v>
      </c>
    </row>
    <row r="54" spans="1:13" s="72" customFormat="1" ht="90" x14ac:dyDescent="0.2">
      <c r="A54" s="31">
        <v>51</v>
      </c>
      <c r="B54" s="31">
        <v>51</v>
      </c>
      <c r="C54" s="146" t="s">
        <v>519</v>
      </c>
      <c r="D54" s="29" t="s">
        <v>1013</v>
      </c>
      <c r="E54" s="138" t="s">
        <v>1014</v>
      </c>
      <c r="F54" s="139">
        <f t="shared" si="1"/>
        <v>5079.8163249417439</v>
      </c>
      <c r="G54" s="148">
        <f>I54/12.97291</f>
        <v>2967.7227391541296</v>
      </c>
      <c r="H54" s="148">
        <f>27400/12.97291</f>
        <v>2112.0935857876143</v>
      </c>
      <c r="I54" s="140">
        <v>38500</v>
      </c>
      <c r="J54" s="141" t="s">
        <v>843</v>
      </c>
      <c r="K54" s="138" t="s">
        <v>1015</v>
      </c>
      <c r="L54" s="31">
        <v>50</v>
      </c>
      <c r="M54" s="145" t="s">
        <v>521</v>
      </c>
    </row>
    <row r="55" spans="1:13" s="72" customFormat="1" ht="15.75" x14ac:dyDescent="0.2">
      <c r="A55" s="31">
        <v>52</v>
      </c>
      <c r="B55" s="31">
        <v>52</v>
      </c>
      <c r="C55" s="146" t="s">
        <v>1016</v>
      </c>
      <c r="D55" s="16" t="s">
        <v>20</v>
      </c>
      <c r="E55" s="138" t="s">
        <v>1017</v>
      </c>
      <c r="F55" s="139">
        <f t="shared" si="1"/>
        <v>276.33499520273187</v>
      </c>
      <c r="G55" s="148">
        <f>I55/12.95529</f>
        <v>192.97136536503621</v>
      </c>
      <c r="H55" s="148">
        <f>1080/12.95529</f>
        <v>83.36362983769564</v>
      </c>
      <c r="I55" s="140">
        <v>2500</v>
      </c>
      <c r="J55" s="141" t="s">
        <v>848</v>
      </c>
      <c r="K55" s="29" t="s">
        <v>1018</v>
      </c>
      <c r="L55" s="31">
        <v>4</v>
      </c>
      <c r="M55" s="145" t="s">
        <v>1019</v>
      </c>
    </row>
    <row r="56" spans="1:13" s="72" customFormat="1" ht="15.75" x14ac:dyDescent="0.2">
      <c r="A56" s="31">
        <v>53</v>
      </c>
      <c r="B56" s="31">
        <v>53</v>
      </c>
      <c r="C56" s="146" t="s">
        <v>1020</v>
      </c>
      <c r="D56" s="16" t="s">
        <v>20</v>
      </c>
      <c r="E56" s="138" t="s">
        <v>1021</v>
      </c>
      <c r="F56" s="139">
        <f t="shared" si="1"/>
        <v>117.95153716342995</v>
      </c>
      <c r="G56" s="148">
        <f>900/12.92413</f>
        <v>69.637182541494084</v>
      </c>
      <c r="H56" s="148">
        <f>624.421/12.92413</f>
        <v>48.31435462193587</v>
      </c>
      <c r="I56" s="140">
        <v>900</v>
      </c>
      <c r="J56" s="141" t="s">
        <v>848</v>
      </c>
      <c r="K56" s="29" t="s">
        <v>1022</v>
      </c>
      <c r="L56" s="31">
        <v>2</v>
      </c>
      <c r="M56" s="145" t="s">
        <v>1023</v>
      </c>
    </row>
    <row r="57" spans="1:13" s="72" customFormat="1" ht="15.75" x14ac:dyDescent="0.2">
      <c r="A57" s="31">
        <v>54</v>
      </c>
      <c r="B57" s="31">
        <v>54</v>
      </c>
      <c r="C57" s="146" t="s">
        <v>1024</v>
      </c>
      <c r="D57" s="138" t="s">
        <v>253</v>
      </c>
      <c r="E57" s="138" t="s">
        <v>975</v>
      </c>
      <c r="F57" s="139">
        <f t="shared" si="1"/>
        <v>226.23606984955981</v>
      </c>
      <c r="G57" s="148">
        <f>I57/12.85162</f>
        <v>155.62240402377287</v>
      </c>
      <c r="H57" s="148">
        <f>907.5/12.85162</f>
        <v>70.613665825786939</v>
      </c>
      <c r="I57" s="140">
        <v>2000</v>
      </c>
      <c r="J57" s="141" t="s">
        <v>848</v>
      </c>
      <c r="K57" s="138" t="s">
        <v>1025</v>
      </c>
      <c r="L57" s="31">
        <v>10</v>
      </c>
      <c r="M57" s="145" t="s">
        <v>1026</v>
      </c>
    </row>
    <row r="58" spans="1:13" s="72" customFormat="1" ht="30" x14ac:dyDescent="0.2">
      <c r="A58" s="31">
        <v>55</v>
      </c>
      <c r="B58" s="31">
        <v>55</v>
      </c>
      <c r="C58" s="146" t="s">
        <v>1027</v>
      </c>
      <c r="D58" s="29" t="s">
        <v>14</v>
      </c>
      <c r="E58" s="138" t="s">
        <v>1028</v>
      </c>
      <c r="F58" s="139">
        <f t="shared" si="1"/>
        <v>178.96576462733881</v>
      </c>
      <c r="G58" s="148">
        <f>I58/12.85162</f>
        <v>124.4979232190183</v>
      </c>
      <c r="H58" s="148">
        <f>700/12.85162</f>
        <v>54.467841408320503</v>
      </c>
      <c r="I58" s="140">
        <v>1600</v>
      </c>
      <c r="J58" s="141" t="s">
        <v>848</v>
      </c>
      <c r="K58" s="29" t="s">
        <v>1029</v>
      </c>
      <c r="L58" s="31">
        <v>3</v>
      </c>
      <c r="M58" s="145" t="s">
        <v>1030</v>
      </c>
    </row>
    <row r="59" spans="1:13" s="72" customFormat="1" ht="15.75" x14ac:dyDescent="0.2">
      <c r="A59" s="31">
        <v>56</v>
      </c>
      <c r="B59" s="31">
        <v>56</v>
      </c>
      <c r="C59" s="146" t="s">
        <v>1031</v>
      </c>
      <c r="D59" s="29" t="s">
        <v>20</v>
      </c>
      <c r="E59" s="138" t="s">
        <v>1032</v>
      </c>
      <c r="F59" s="139">
        <f t="shared" si="1"/>
        <v>135.41367751830597</v>
      </c>
      <c r="G59" s="148">
        <f>I59/12.93568</f>
        <v>92.766673263407881</v>
      </c>
      <c r="H59" s="148">
        <f>551.668/12.93568</f>
        <v>42.647004254898079</v>
      </c>
      <c r="I59" s="140">
        <v>1200</v>
      </c>
      <c r="J59" s="141" t="s">
        <v>843</v>
      </c>
      <c r="K59" s="29" t="s">
        <v>1033</v>
      </c>
      <c r="L59" s="31">
        <v>6</v>
      </c>
      <c r="M59" s="145" t="s">
        <v>1034</v>
      </c>
    </row>
    <row r="60" spans="1:13" s="72" customFormat="1" ht="45" x14ac:dyDescent="0.2">
      <c r="A60" s="31">
        <v>57</v>
      </c>
      <c r="B60" s="31">
        <v>57</v>
      </c>
      <c r="C60" s="146" t="s">
        <v>1035</v>
      </c>
      <c r="D60" s="29" t="s">
        <v>14</v>
      </c>
      <c r="E60" s="138" t="s">
        <v>1036</v>
      </c>
      <c r="F60" s="139">
        <f t="shared" si="1"/>
        <v>216.57765010241889</v>
      </c>
      <c r="G60" s="148">
        <f>I60/12.88337</f>
        <v>135.05783036581269</v>
      </c>
      <c r="H60" s="148">
        <f>1050.25/12.88337</f>
        <v>81.519819736606181</v>
      </c>
      <c r="I60" s="140">
        <v>1740</v>
      </c>
      <c r="J60" s="141" t="s">
        <v>848</v>
      </c>
      <c r="K60" s="138" t="s">
        <v>1037</v>
      </c>
      <c r="L60" s="31">
        <v>6</v>
      </c>
      <c r="M60" s="145" t="s">
        <v>1038</v>
      </c>
    </row>
    <row r="61" spans="1:13" s="72" customFormat="1" ht="45" x14ac:dyDescent="0.2">
      <c r="A61" s="31">
        <v>58</v>
      </c>
      <c r="B61" s="31">
        <v>58</v>
      </c>
      <c r="C61" s="146" t="s">
        <v>1039</v>
      </c>
      <c r="D61" s="29" t="s">
        <v>26</v>
      </c>
      <c r="E61" s="138" t="s">
        <v>109</v>
      </c>
      <c r="F61" s="139">
        <f t="shared" si="1"/>
        <v>4205.767000775194</v>
      </c>
      <c r="G61" s="148">
        <f>I61/12.9</f>
        <v>2325.5813953488373</v>
      </c>
      <c r="H61" s="148">
        <f>24254.39431/12.9</f>
        <v>1880.1856054263565</v>
      </c>
      <c r="I61" s="140">
        <v>30000</v>
      </c>
      <c r="J61" s="141" t="s">
        <v>848</v>
      </c>
      <c r="K61" s="138" t="s">
        <v>1040</v>
      </c>
      <c r="L61" s="31">
        <v>12</v>
      </c>
      <c r="M61" s="145" t="s">
        <v>1041</v>
      </c>
    </row>
    <row r="62" spans="1:13" s="72" customFormat="1" ht="15.75" x14ac:dyDescent="0.2">
      <c r="A62" s="31">
        <v>59</v>
      </c>
      <c r="B62" s="31">
        <v>59</v>
      </c>
      <c r="C62" s="146" t="s">
        <v>1042</v>
      </c>
      <c r="D62" s="29" t="s">
        <v>441</v>
      </c>
      <c r="E62" s="138" t="s">
        <v>1043</v>
      </c>
      <c r="F62" s="139">
        <f t="shared" si="1"/>
        <v>564.97894627126038</v>
      </c>
      <c r="G62" s="148">
        <f t="shared" ref="G62:G68" si="2">I62/12.76021</f>
        <v>391.84308095242943</v>
      </c>
      <c r="H62" s="148">
        <f>2209.25/12.76021</f>
        <v>173.13586531883095</v>
      </c>
      <c r="I62" s="140">
        <v>5000</v>
      </c>
      <c r="J62" s="141" t="s">
        <v>848</v>
      </c>
      <c r="K62" s="29" t="s">
        <v>1044</v>
      </c>
      <c r="L62" s="31">
        <v>10</v>
      </c>
      <c r="M62" s="145" t="s">
        <v>1045</v>
      </c>
    </row>
    <row r="63" spans="1:13" s="72" customFormat="1" ht="30" x14ac:dyDescent="0.2">
      <c r="A63" s="31">
        <v>60</v>
      </c>
      <c r="B63" s="31">
        <v>60</v>
      </c>
      <c r="C63" s="146" t="s">
        <v>1046</v>
      </c>
      <c r="D63" s="29" t="s">
        <v>20</v>
      </c>
      <c r="E63" s="138" t="s">
        <v>1047</v>
      </c>
      <c r="F63" s="139">
        <f t="shared" si="1"/>
        <v>223.96778736400105</v>
      </c>
      <c r="G63" s="148">
        <f t="shared" si="2"/>
        <v>156.73723238097179</v>
      </c>
      <c r="H63" s="148">
        <f>857.876/12.76021</f>
        <v>67.230554983029265</v>
      </c>
      <c r="I63" s="140">
        <v>2000</v>
      </c>
      <c r="J63" s="141" t="s">
        <v>843</v>
      </c>
      <c r="K63" s="138" t="s">
        <v>1048</v>
      </c>
      <c r="L63" s="31">
        <v>10</v>
      </c>
      <c r="M63" s="145" t="s">
        <v>1049</v>
      </c>
    </row>
    <row r="64" spans="1:13" s="72" customFormat="1" ht="15.75" x14ac:dyDescent="0.2">
      <c r="A64" s="31">
        <v>61</v>
      </c>
      <c r="B64" s="31">
        <v>61</v>
      </c>
      <c r="C64" s="146" t="s">
        <v>1050</v>
      </c>
      <c r="D64" s="29" t="s">
        <v>32</v>
      </c>
      <c r="E64" s="138" t="s">
        <v>1051</v>
      </c>
      <c r="F64" s="139">
        <f t="shared" si="1"/>
        <v>88.55653629524906</v>
      </c>
      <c r="G64" s="148">
        <f t="shared" si="2"/>
        <v>47.021169714291531</v>
      </c>
      <c r="H64" s="148">
        <f>530/12.76021</f>
        <v>41.535366580957522</v>
      </c>
      <c r="I64" s="140">
        <v>600</v>
      </c>
      <c r="J64" s="141" t="s">
        <v>848</v>
      </c>
      <c r="K64" s="138" t="s">
        <v>1052</v>
      </c>
      <c r="L64" s="31">
        <v>6</v>
      </c>
      <c r="M64" s="145" t="s">
        <v>1053</v>
      </c>
    </row>
    <row r="65" spans="1:13" s="72" customFormat="1" ht="15.75" x14ac:dyDescent="0.2">
      <c r="A65" s="31">
        <v>62</v>
      </c>
      <c r="B65" s="31">
        <v>62</v>
      </c>
      <c r="C65" s="146" t="s">
        <v>1054</v>
      </c>
      <c r="D65" s="29" t="s">
        <v>441</v>
      </c>
      <c r="E65" s="138" t="s">
        <v>1055</v>
      </c>
      <c r="F65" s="139">
        <f t="shared" si="1"/>
        <v>279.82533202823464</v>
      </c>
      <c r="G65" s="148">
        <f t="shared" si="2"/>
        <v>172.41095561906894</v>
      </c>
      <c r="H65" s="148">
        <f>1370.63/12.76021</f>
        <v>107.41437640916568</v>
      </c>
      <c r="I65" s="140">
        <v>2200</v>
      </c>
      <c r="J65" s="141" t="s">
        <v>848</v>
      </c>
      <c r="K65" s="29" t="s">
        <v>1056</v>
      </c>
      <c r="L65" s="31">
        <v>10</v>
      </c>
      <c r="M65" s="145" t="s">
        <v>1057</v>
      </c>
    </row>
    <row r="66" spans="1:13" s="72" customFormat="1" ht="15.75" x14ac:dyDescent="0.2">
      <c r="A66" s="31">
        <v>63</v>
      </c>
      <c r="B66" s="31">
        <v>63</v>
      </c>
      <c r="C66" s="146" t="s">
        <v>1058</v>
      </c>
      <c r="D66" s="29" t="s">
        <v>32</v>
      </c>
      <c r="E66" s="138" t="s">
        <v>1059</v>
      </c>
      <c r="F66" s="139">
        <f t="shared" si="1"/>
        <v>168.49252480954465</v>
      </c>
      <c r="G66" s="148">
        <f t="shared" si="2"/>
        <v>117.55292428572884</v>
      </c>
      <c r="H66" s="148">
        <f>650/12.76021</f>
        <v>50.939600523815827</v>
      </c>
      <c r="I66" s="140">
        <v>1500</v>
      </c>
      <c r="J66" s="141" t="s">
        <v>848</v>
      </c>
      <c r="K66" s="29" t="s">
        <v>1060</v>
      </c>
      <c r="L66" s="31">
        <v>4</v>
      </c>
      <c r="M66" s="145" t="s">
        <v>1062</v>
      </c>
    </row>
    <row r="67" spans="1:13" s="72" customFormat="1" ht="30" x14ac:dyDescent="0.2">
      <c r="A67" s="31">
        <v>64</v>
      </c>
      <c r="B67" s="31">
        <v>64</v>
      </c>
      <c r="C67" s="146" t="s">
        <v>1063</v>
      </c>
      <c r="D67" s="29" t="s">
        <v>48</v>
      </c>
      <c r="E67" s="138" t="s">
        <v>578</v>
      </c>
      <c r="F67" s="139">
        <f t="shared" si="1"/>
        <v>254.69016575746011</v>
      </c>
      <c r="G67" s="148">
        <f t="shared" si="2"/>
        <v>148.9003707619232</v>
      </c>
      <c r="H67" s="148">
        <f>1349.9/12.76021</f>
        <v>105.78979499553691</v>
      </c>
      <c r="I67" s="140">
        <v>1900</v>
      </c>
      <c r="J67" s="141" t="s">
        <v>864</v>
      </c>
      <c r="K67" s="138" t="s">
        <v>1064</v>
      </c>
      <c r="L67" s="31">
        <v>6</v>
      </c>
      <c r="M67" s="145" t="s">
        <v>1065</v>
      </c>
    </row>
    <row r="68" spans="1:13" s="72" customFormat="1" ht="45" x14ac:dyDescent="0.2">
      <c r="A68" s="31">
        <v>65</v>
      </c>
      <c r="B68" s="31">
        <v>65</v>
      </c>
      <c r="C68" s="146" t="s">
        <v>1066</v>
      </c>
      <c r="D68" s="29" t="s">
        <v>324</v>
      </c>
      <c r="E68" s="138" t="s">
        <v>1067</v>
      </c>
      <c r="F68" s="139">
        <f t="shared" si="1"/>
        <v>304.72507897597296</v>
      </c>
      <c r="G68" s="148">
        <f t="shared" si="2"/>
        <v>203.75840209526331</v>
      </c>
      <c r="H68" s="148">
        <f>1288.356/12.76021</f>
        <v>100.96667688070964</v>
      </c>
      <c r="I68" s="140">
        <v>2600</v>
      </c>
      <c r="J68" s="141" t="s">
        <v>843</v>
      </c>
      <c r="K68" s="138" t="s">
        <v>1068</v>
      </c>
      <c r="L68" s="31">
        <v>8</v>
      </c>
      <c r="M68" s="145" t="s">
        <v>1069</v>
      </c>
    </row>
    <row r="69" spans="1:13" s="72" customFormat="1" ht="75" x14ac:dyDescent="0.2">
      <c r="A69" s="31">
        <v>66</v>
      </c>
      <c r="B69" s="31">
        <v>66</v>
      </c>
      <c r="C69" s="146" t="s">
        <v>1070</v>
      </c>
      <c r="D69" s="29" t="s">
        <v>441</v>
      </c>
      <c r="E69" s="138" t="s">
        <v>1071</v>
      </c>
      <c r="F69" s="139">
        <f t="shared" si="1"/>
        <v>100.39042827123794</v>
      </c>
      <c r="G69" s="148">
        <f>I69/12.66814</f>
        <v>55.256730664485872</v>
      </c>
      <c r="H69" s="148">
        <f>571.76/12.66814</f>
        <v>45.133697606752058</v>
      </c>
      <c r="I69" s="140">
        <v>700</v>
      </c>
      <c r="J69" s="141" t="s">
        <v>864</v>
      </c>
      <c r="K69" s="138" t="s">
        <v>1072</v>
      </c>
      <c r="L69" s="31">
        <v>10</v>
      </c>
      <c r="M69" s="145" t="s">
        <v>1073</v>
      </c>
    </row>
    <row r="70" spans="1:13" s="72" customFormat="1" ht="30" x14ac:dyDescent="0.2">
      <c r="A70" s="31">
        <v>67</v>
      </c>
      <c r="B70" s="31">
        <v>67</v>
      </c>
      <c r="C70" s="146" t="s">
        <v>1074</v>
      </c>
      <c r="D70" s="29" t="s">
        <v>856</v>
      </c>
      <c r="E70" s="138" t="s">
        <v>1075</v>
      </c>
      <c r="F70" s="139">
        <f t="shared" si="1"/>
        <v>313.2267246809713</v>
      </c>
      <c r="G70" s="148">
        <f>I70/12.66814</f>
        <v>156.29760959383145</v>
      </c>
      <c r="H70" s="148">
        <f>1988/12.66814</f>
        <v>156.92911508713988</v>
      </c>
      <c r="I70" s="140">
        <v>1980</v>
      </c>
      <c r="J70" s="141" t="s">
        <v>864</v>
      </c>
      <c r="K70" s="138" t="s">
        <v>1076</v>
      </c>
      <c r="L70" s="31">
        <v>5</v>
      </c>
      <c r="M70" s="145" t="s">
        <v>1077</v>
      </c>
    </row>
    <row r="71" spans="1:13" s="72" customFormat="1" ht="31.5" x14ac:dyDescent="0.2">
      <c r="A71" s="31">
        <v>68</v>
      </c>
      <c r="B71" s="31">
        <v>68</v>
      </c>
      <c r="C71" s="146" t="s">
        <v>1078</v>
      </c>
      <c r="D71" s="29" t="s">
        <v>441</v>
      </c>
      <c r="E71" s="138" t="s">
        <v>1071</v>
      </c>
      <c r="F71" s="139">
        <f t="shared" si="1"/>
        <v>110.51346132897174</v>
      </c>
      <c r="G71" s="148">
        <f>I71/12.66814</f>
        <v>71.044367997196119</v>
      </c>
      <c r="H71" s="148">
        <f>500/12.66814</f>
        <v>39.469093331775625</v>
      </c>
      <c r="I71" s="140">
        <v>900</v>
      </c>
      <c r="J71" s="141" t="s">
        <v>864</v>
      </c>
      <c r="K71" s="138" t="s">
        <v>1079</v>
      </c>
      <c r="L71" s="31">
        <v>5</v>
      </c>
      <c r="M71" s="145" t="s">
        <v>1080</v>
      </c>
    </row>
    <row r="72" spans="1:13" s="72" customFormat="1" ht="30" x14ac:dyDescent="0.2">
      <c r="A72" s="31">
        <v>69</v>
      </c>
      <c r="B72" s="31">
        <v>69</v>
      </c>
      <c r="C72" s="146" t="s">
        <v>1081</v>
      </c>
      <c r="D72" s="29" t="s">
        <v>441</v>
      </c>
      <c r="E72" s="138" t="s">
        <v>645</v>
      </c>
      <c r="F72" s="139">
        <f t="shared" si="1"/>
        <v>228.65055477496369</v>
      </c>
      <c r="G72" s="148">
        <f>I72/12.61863</f>
        <v>154.53341606814686</v>
      </c>
      <c r="H72" s="148">
        <f>935.25675/
12.61863</f>
        <v>74.117138706816831</v>
      </c>
      <c r="I72" s="140">
        <v>1950</v>
      </c>
      <c r="J72" s="141" t="s">
        <v>843</v>
      </c>
      <c r="K72" s="138" t="s">
        <v>1082</v>
      </c>
      <c r="L72" s="31">
        <v>36</v>
      </c>
      <c r="M72" s="145" t="s">
        <v>1083</v>
      </c>
    </row>
    <row r="73" spans="1:13" s="72" customFormat="1" ht="75" x14ac:dyDescent="0.2">
      <c r="A73" s="31">
        <v>70</v>
      </c>
      <c r="B73" s="31">
        <v>70</v>
      </c>
      <c r="C73" s="146" t="s">
        <v>1084</v>
      </c>
      <c r="D73" s="16" t="s">
        <v>77</v>
      </c>
      <c r="E73" s="138" t="s">
        <v>523</v>
      </c>
      <c r="F73" s="139">
        <f t="shared" si="1"/>
        <v>6764.1262303670756</v>
      </c>
      <c r="G73" s="148">
        <f>I73/12.55926</f>
        <v>2993.9996464759865</v>
      </c>
      <c r="H73" s="148">
        <f>47350/12.55926</f>
        <v>3770.126583891089</v>
      </c>
      <c r="I73" s="140">
        <v>37602.42</v>
      </c>
      <c r="J73" s="141" t="s">
        <v>843</v>
      </c>
      <c r="K73" s="138" t="s">
        <v>1085</v>
      </c>
      <c r="L73" s="31">
        <v>120</v>
      </c>
      <c r="M73" s="145" t="s">
        <v>1086</v>
      </c>
    </row>
    <row r="74" spans="1:13" s="72" customFormat="1" x14ac:dyDescent="0.2">
      <c r="A74" s="31"/>
      <c r="B74" s="31"/>
      <c r="C74" s="37" t="s">
        <v>362</v>
      </c>
      <c r="D74" s="131"/>
      <c r="E74" s="131"/>
      <c r="F74" s="132">
        <f>SUM(F4:F73)</f>
        <v>72124.770719348802</v>
      </c>
      <c r="G74" s="132">
        <f>SUM(G4:G73)</f>
        <v>31871.170759891185</v>
      </c>
      <c r="H74" s="132">
        <f>SUM(H4:H73)</f>
        <v>40253.599959457613</v>
      </c>
      <c r="I74" s="132">
        <f>SUM(I4:I73)</f>
        <v>406868.47</v>
      </c>
      <c r="J74" s="135"/>
      <c r="K74" s="131"/>
      <c r="L74" s="129">
        <f>SUM(L4:L73)</f>
        <v>977</v>
      </c>
      <c r="M74" s="136"/>
    </row>
    <row r="75" spans="1:13" s="72" customFormat="1" x14ac:dyDescent="0.2">
      <c r="A75" s="18"/>
      <c r="B75" s="31"/>
      <c r="C75" s="37" t="s">
        <v>363</v>
      </c>
      <c r="D75" s="70"/>
      <c r="E75" s="70"/>
      <c r="F75" s="132"/>
      <c r="G75" s="133">
        <f>G3-G74</f>
        <v>48128.829240108811</v>
      </c>
      <c r="H75" s="132"/>
      <c r="I75" s="134"/>
      <c r="J75" s="135"/>
      <c r="K75" s="131"/>
      <c r="L75" s="129"/>
      <c r="M75" s="136"/>
    </row>
    <row r="76" spans="1:13" ht="15.75" x14ac:dyDescent="0.25">
      <c r="A76" s="18"/>
      <c r="B76" s="31"/>
      <c r="C76" s="149" t="s">
        <v>1087</v>
      </c>
      <c r="D76" s="16"/>
      <c r="E76" s="16"/>
      <c r="F76" s="17"/>
      <c r="G76" s="133">
        <f>40000+15000</f>
        <v>55000</v>
      </c>
      <c r="H76" s="17"/>
      <c r="I76" s="17"/>
      <c r="J76" s="16"/>
      <c r="K76" s="16"/>
      <c r="L76" s="18"/>
      <c r="M76" s="19"/>
    </row>
    <row r="77" spans="1:13" ht="15.75" x14ac:dyDescent="0.25">
      <c r="A77" s="18">
        <v>71</v>
      </c>
      <c r="B77" s="31">
        <v>1</v>
      </c>
      <c r="C77" s="146" t="s">
        <v>1088</v>
      </c>
      <c r="D77" s="16" t="s">
        <v>1089</v>
      </c>
      <c r="E77" s="16" t="s">
        <v>1090</v>
      </c>
      <c r="F77" s="17">
        <f t="shared" ref="F77:F140" si="3">+G77+H77</f>
        <v>88.121643267871406</v>
      </c>
      <c r="G77" s="17">
        <v>23.610600000000002</v>
      </c>
      <c r="H77" s="17">
        <v>64.511043267871401</v>
      </c>
      <c r="I77" s="64">
        <v>300</v>
      </c>
      <c r="J77" s="141" t="s">
        <v>848</v>
      </c>
      <c r="K77" s="138" t="s">
        <v>1091</v>
      </c>
      <c r="L77" s="18">
        <v>4</v>
      </c>
      <c r="M77" s="19" t="s">
        <v>1092</v>
      </c>
    </row>
    <row r="78" spans="1:13" ht="15.75" x14ac:dyDescent="0.25">
      <c r="A78" s="18">
        <v>72</v>
      </c>
      <c r="B78" s="31">
        <v>2</v>
      </c>
      <c r="C78" s="146" t="s">
        <v>1093</v>
      </c>
      <c r="D78" s="16" t="s">
        <v>230</v>
      </c>
      <c r="E78" s="16" t="s">
        <v>1094</v>
      </c>
      <c r="F78" s="17">
        <f t="shared" si="3"/>
        <v>43.812009291620896</v>
      </c>
      <c r="G78" s="17">
        <v>23.74879</v>
      </c>
      <c r="H78" s="17">
        <v>20.0632192916209</v>
      </c>
      <c r="I78" s="64">
        <v>300</v>
      </c>
      <c r="J78" s="141" t="s">
        <v>848</v>
      </c>
      <c r="K78" s="138" t="s">
        <v>1095</v>
      </c>
      <c r="L78" s="18">
        <v>10</v>
      </c>
      <c r="M78" s="19" t="s">
        <v>1096</v>
      </c>
    </row>
    <row r="79" spans="1:13" ht="15.75" x14ac:dyDescent="0.25">
      <c r="A79" s="18">
        <v>73</v>
      </c>
      <c r="B79" s="31">
        <v>3</v>
      </c>
      <c r="C79" s="146" t="s">
        <v>1097</v>
      </c>
      <c r="D79" s="16" t="s">
        <v>14</v>
      </c>
      <c r="E79" s="16" t="s">
        <v>965</v>
      </c>
      <c r="F79" s="17">
        <f t="shared" si="3"/>
        <v>250.54302800070201</v>
      </c>
      <c r="G79" s="17">
        <v>119.23432</v>
      </c>
      <c r="H79" s="17">
        <v>131.30870800070201</v>
      </c>
      <c r="I79" s="64">
        <v>1500</v>
      </c>
      <c r="J79" s="16" t="s">
        <v>1098</v>
      </c>
      <c r="K79" s="138" t="s">
        <v>1099</v>
      </c>
      <c r="L79" s="18">
        <v>3</v>
      </c>
      <c r="M79" s="19" t="s">
        <v>1100</v>
      </c>
    </row>
    <row r="80" spans="1:13" ht="45" x14ac:dyDescent="0.25">
      <c r="A80" s="18">
        <v>74</v>
      </c>
      <c r="B80" s="31">
        <v>4</v>
      </c>
      <c r="C80" s="146" t="s">
        <v>1101</v>
      </c>
      <c r="D80" s="16" t="s">
        <v>225</v>
      </c>
      <c r="E80" s="16" t="s">
        <v>1102</v>
      </c>
      <c r="F80" s="17">
        <f t="shared" si="3"/>
        <v>244.74640543529785</v>
      </c>
      <c r="G80" s="17">
        <f>(2168400000/12658)/1000</f>
        <v>171.30668352030338</v>
      </c>
      <c r="H80" s="17">
        <f>(929600000/12658)/1000</f>
        <v>73.439721914994479</v>
      </c>
      <c r="I80" s="64">
        <v>2168.4</v>
      </c>
      <c r="J80" s="141" t="s">
        <v>848</v>
      </c>
      <c r="K80" s="16" t="s">
        <v>1103</v>
      </c>
      <c r="L80" s="18">
        <v>12</v>
      </c>
      <c r="M80" s="31">
        <v>202896294</v>
      </c>
    </row>
    <row r="81" spans="1:13" ht="13.5" customHeight="1" x14ac:dyDescent="0.25">
      <c r="A81" s="18">
        <v>75</v>
      </c>
      <c r="B81" s="31">
        <v>5</v>
      </c>
      <c r="C81" s="146" t="s">
        <v>1104</v>
      </c>
      <c r="D81" s="16" t="s">
        <v>32</v>
      </c>
      <c r="E81" s="16" t="s">
        <v>1051</v>
      </c>
      <c r="F81" s="17">
        <f t="shared" si="3"/>
        <v>19.709886242420563</v>
      </c>
      <c r="G81" s="17">
        <f>(175000000/12683.99)/1000</f>
        <v>13.796920369694394</v>
      </c>
      <c r="H81" s="17">
        <f>(75000000/12683.99)/1000</f>
        <v>5.9129658727261694</v>
      </c>
      <c r="I81" s="64">
        <v>175</v>
      </c>
      <c r="J81" s="141" t="s">
        <v>848</v>
      </c>
      <c r="K81" s="16" t="s">
        <v>1106</v>
      </c>
      <c r="L81" s="18">
        <v>3</v>
      </c>
      <c r="M81" s="19" t="s">
        <v>1107</v>
      </c>
    </row>
    <row r="82" spans="1:13" ht="15.75" x14ac:dyDescent="0.25">
      <c r="A82" s="18">
        <v>76</v>
      </c>
      <c r="B82" s="31">
        <v>6</v>
      </c>
      <c r="C82" s="146" t="s">
        <v>1108</v>
      </c>
      <c r="D82" s="16" t="s">
        <v>225</v>
      </c>
      <c r="E82" s="16" t="s">
        <v>1109</v>
      </c>
      <c r="F82" s="17">
        <f t="shared" si="3"/>
        <v>286.97665428977723</v>
      </c>
      <c r="G82" s="17">
        <f>(2100000000/12658)/1000</f>
        <v>165.90298625375257</v>
      </c>
      <c r="H82" s="17">
        <f>(1532550490/12658)/1000</f>
        <v>121.07366803602466</v>
      </c>
      <c r="I82" s="64">
        <v>2100</v>
      </c>
      <c r="J82" s="141" t="s">
        <v>848</v>
      </c>
      <c r="K82" s="16" t="s">
        <v>1110</v>
      </c>
      <c r="L82" s="18">
        <v>22</v>
      </c>
      <c r="M82" s="31">
        <v>201474211</v>
      </c>
    </row>
    <row r="83" spans="1:13" ht="15.75" x14ac:dyDescent="0.25">
      <c r="A83" s="18">
        <v>77</v>
      </c>
      <c r="B83" s="31">
        <v>7</v>
      </c>
      <c r="C83" s="146" t="s">
        <v>1111</v>
      </c>
      <c r="D83" s="16" t="s">
        <v>77</v>
      </c>
      <c r="E83" s="16" t="s">
        <v>1112</v>
      </c>
      <c r="F83" s="17">
        <f>+G83+H83</f>
        <v>31.535309578507999</v>
      </c>
      <c r="G83" s="17">
        <v>22.077613851494931</v>
      </c>
      <c r="H83" s="17">
        <v>9.4576957270130695</v>
      </c>
      <c r="I83" s="64">
        <v>280</v>
      </c>
      <c r="J83" s="141" t="s">
        <v>848</v>
      </c>
      <c r="K83" s="16" t="s">
        <v>1113</v>
      </c>
      <c r="L83" s="18">
        <v>6</v>
      </c>
      <c r="M83" s="31">
        <v>308436305</v>
      </c>
    </row>
    <row r="84" spans="1:13" ht="15.75" x14ac:dyDescent="0.25">
      <c r="A84" s="18">
        <v>78</v>
      </c>
      <c r="B84" s="31">
        <v>8</v>
      </c>
      <c r="C84" s="146" t="s">
        <v>1114</v>
      </c>
      <c r="D84" s="16" t="s">
        <v>77</v>
      </c>
      <c r="E84" s="16" t="s">
        <v>1115</v>
      </c>
      <c r="F84" s="17">
        <f t="shared" si="3"/>
        <v>88.289540310148496</v>
      </c>
      <c r="G84" s="17">
        <v>55.217939999999999</v>
      </c>
      <c r="H84" s="150">
        <v>33.071600310148497</v>
      </c>
      <c r="I84" s="151">
        <v>700</v>
      </c>
      <c r="J84" s="141" t="s">
        <v>848</v>
      </c>
      <c r="K84" s="16" t="s">
        <v>1116</v>
      </c>
      <c r="L84" s="18">
        <v>8</v>
      </c>
      <c r="M84" s="31">
        <v>302409904</v>
      </c>
    </row>
    <row r="85" spans="1:13" ht="30" x14ac:dyDescent="0.25">
      <c r="A85" s="18">
        <v>79</v>
      </c>
      <c r="B85" s="31">
        <v>9</v>
      </c>
      <c r="C85" s="146" t="s">
        <v>1117</v>
      </c>
      <c r="D85" s="16" t="s">
        <v>14</v>
      </c>
      <c r="E85" s="16" t="s">
        <v>133</v>
      </c>
      <c r="F85" s="17">
        <f t="shared" si="3"/>
        <v>184.14341798164202</v>
      </c>
      <c r="G85" s="17">
        <v>111.19</v>
      </c>
      <c r="H85" s="150">
        <v>72.953417981642005</v>
      </c>
      <c r="I85" s="151">
        <v>1400</v>
      </c>
      <c r="J85" s="141" t="s">
        <v>848</v>
      </c>
      <c r="K85" s="16" t="s">
        <v>1118</v>
      </c>
      <c r="L85" s="18">
        <v>5</v>
      </c>
      <c r="M85" s="31">
        <v>203982243</v>
      </c>
    </row>
    <row r="86" spans="1:13" ht="30" x14ac:dyDescent="0.25">
      <c r="A86" s="18">
        <v>80</v>
      </c>
      <c r="B86" s="31">
        <v>10</v>
      </c>
      <c r="C86" s="146" t="s">
        <v>1119</v>
      </c>
      <c r="D86" s="16" t="s">
        <v>14</v>
      </c>
      <c r="E86" s="16" t="s">
        <v>133</v>
      </c>
      <c r="F86" s="17">
        <f t="shared" si="3"/>
        <v>179.54068146420218</v>
      </c>
      <c r="G86" s="17">
        <v>87.302769999999995</v>
      </c>
      <c r="H86" s="150">
        <v>92.237911464202199</v>
      </c>
      <c r="I86" s="151">
        <v>1000</v>
      </c>
      <c r="J86" s="141" t="s">
        <v>848</v>
      </c>
      <c r="K86" s="16" t="s">
        <v>1120</v>
      </c>
      <c r="L86" s="18">
        <v>3</v>
      </c>
      <c r="M86" s="31">
        <v>300157610</v>
      </c>
    </row>
    <row r="87" spans="1:13" ht="30" x14ac:dyDescent="0.25">
      <c r="A87" s="18">
        <v>81</v>
      </c>
      <c r="B87" s="31">
        <v>11</v>
      </c>
      <c r="C87" s="146" t="s">
        <v>1121</v>
      </c>
      <c r="D87" s="16" t="s">
        <v>1089</v>
      </c>
      <c r="E87" s="16" t="s">
        <v>1122</v>
      </c>
      <c r="F87" s="17">
        <f t="shared" si="3"/>
        <v>416.59542047279103</v>
      </c>
      <c r="G87" s="17">
        <v>117.836706605454</v>
      </c>
      <c r="H87" s="150">
        <v>298.75871386733701</v>
      </c>
      <c r="I87" s="151">
        <v>1500</v>
      </c>
      <c r="J87" s="141" t="s">
        <v>848</v>
      </c>
      <c r="K87" s="16" t="s">
        <v>1123</v>
      </c>
      <c r="L87" s="18">
        <v>14</v>
      </c>
      <c r="M87" s="31">
        <v>300375317</v>
      </c>
    </row>
    <row r="88" spans="1:13" ht="30" x14ac:dyDescent="0.25">
      <c r="A88" s="18">
        <v>82</v>
      </c>
      <c r="B88" s="31">
        <v>12</v>
      </c>
      <c r="C88" s="146" t="s">
        <v>1124</v>
      </c>
      <c r="D88" s="138" t="s">
        <v>324</v>
      </c>
      <c r="E88" s="16" t="s">
        <v>1125</v>
      </c>
      <c r="F88" s="17">
        <f t="shared" si="3"/>
        <v>76.012531540958307</v>
      </c>
      <c r="G88" s="17">
        <v>47.134682642181701</v>
      </c>
      <c r="H88" s="150">
        <v>28.877848898776602</v>
      </c>
      <c r="I88" s="151">
        <v>600</v>
      </c>
      <c r="J88" s="141" t="s">
        <v>848</v>
      </c>
      <c r="K88" s="16" t="s">
        <v>1126</v>
      </c>
      <c r="L88" s="18">
        <v>16</v>
      </c>
      <c r="M88" s="31">
        <v>308000594</v>
      </c>
    </row>
    <row r="89" spans="1:13" ht="30" x14ac:dyDescent="0.25">
      <c r="A89" s="18">
        <v>83</v>
      </c>
      <c r="B89" s="31">
        <v>13</v>
      </c>
      <c r="C89" s="146" t="s">
        <v>1127</v>
      </c>
      <c r="D89" s="16" t="s">
        <v>32</v>
      </c>
      <c r="E89" s="16" t="s">
        <v>1128</v>
      </c>
      <c r="F89" s="17">
        <f t="shared" si="3"/>
        <v>1449.9336967570489</v>
      </c>
      <c r="G89" s="17">
        <v>335.95108301052898</v>
      </c>
      <c r="H89" s="150">
        <v>1113.98261374652</v>
      </c>
      <c r="I89" s="151">
        <v>4280</v>
      </c>
      <c r="J89" s="141" t="s">
        <v>848</v>
      </c>
      <c r="K89" s="16" t="s">
        <v>1129</v>
      </c>
      <c r="L89" s="18">
        <v>25</v>
      </c>
      <c r="M89" s="31">
        <v>206482261</v>
      </c>
    </row>
    <row r="90" spans="1:13" ht="30" x14ac:dyDescent="0.25">
      <c r="A90" s="18">
        <v>84</v>
      </c>
      <c r="B90" s="31">
        <v>14</v>
      </c>
      <c r="C90" s="146" t="s">
        <v>1130</v>
      </c>
      <c r="D90" s="16" t="s">
        <v>26</v>
      </c>
      <c r="E90" s="16" t="s">
        <v>898</v>
      </c>
      <c r="F90" s="17">
        <f t="shared" si="3"/>
        <v>392.466218470184</v>
      </c>
      <c r="G90" s="17">
        <v>274.72635292917101</v>
      </c>
      <c r="H90" s="150">
        <v>117.739865541013</v>
      </c>
      <c r="I90" s="151">
        <v>3500</v>
      </c>
      <c r="J90" s="141" t="s">
        <v>848</v>
      </c>
      <c r="K90" s="16" t="s">
        <v>1131</v>
      </c>
      <c r="L90" s="18">
        <v>15</v>
      </c>
      <c r="M90" s="31">
        <v>306706405</v>
      </c>
    </row>
    <row r="91" spans="1:13" ht="45" x14ac:dyDescent="0.25">
      <c r="A91" s="18">
        <v>85</v>
      </c>
      <c r="B91" s="31">
        <v>15</v>
      </c>
      <c r="C91" s="146" t="s">
        <v>1132</v>
      </c>
      <c r="D91" s="16" t="s">
        <v>225</v>
      </c>
      <c r="E91" s="16" t="s">
        <v>1133</v>
      </c>
      <c r="F91" s="17">
        <f t="shared" si="3"/>
        <v>55.139170875866697</v>
      </c>
      <c r="G91" s="17">
        <v>38.044105353631601</v>
      </c>
      <c r="H91" s="150">
        <v>17.0950655222351</v>
      </c>
      <c r="I91" s="151">
        <v>484.68</v>
      </c>
      <c r="J91" s="141" t="s">
        <v>848</v>
      </c>
      <c r="K91" s="16" t="s">
        <v>1134</v>
      </c>
      <c r="L91" s="18">
        <v>10</v>
      </c>
      <c r="M91" s="31">
        <v>201474235</v>
      </c>
    </row>
    <row r="92" spans="1:13" ht="30" x14ac:dyDescent="0.25">
      <c r="A92" s="18">
        <v>86</v>
      </c>
      <c r="B92" s="31">
        <v>16</v>
      </c>
      <c r="C92" s="146" t="s">
        <v>1135</v>
      </c>
      <c r="D92" s="138" t="s">
        <v>441</v>
      </c>
      <c r="E92" s="16" t="s">
        <v>406</v>
      </c>
      <c r="F92" s="17">
        <f t="shared" si="3"/>
        <v>93.922185850222291</v>
      </c>
      <c r="G92" s="17">
        <v>50.991230000000002</v>
      </c>
      <c r="H92" s="150">
        <v>42.930955850222297</v>
      </c>
      <c r="I92" s="151">
        <v>650</v>
      </c>
      <c r="J92" s="141" t="s">
        <v>848</v>
      </c>
      <c r="K92" s="16" t="s">
        <v>1136</v>
      </c>
      <c r="L92" s="18">
        <v>7</v>
      </c>
      <c r="M92" s="31">
        <v>205214333</v>
      </c>
    </row>
    <row r="93" spans="1:13" ht="30" x14ac:dyDescent="0.25">
      <c r="A93" s="18">
        <v>87</v>
      </c>
      <c r="B93" s="31">
        <v>17</v>
      </c>
      <c r="C93" s="146" t="s">
        <v>1137</v>
      </c>
      <c r="D93" s="138" t="s">
        <v>253</v>
      </c>
      <c r="E93" s="16" t="s">
        <v>787</v>
      </c>
      <c r="F93" s="17">
        <f t="shared" si="3"/>
        <v>145.5578695101629</v>
      </c>
      <c r="G93" s="17">
        <v>89.670680000000004</v>
      </c>
      <c r="H93" s="150">
        <v>55.887189510162898</v>
      </c>
      <c r="I93" s="151">
        <v>1142.4000000000001</v>
      </c>
      <c r="J93" s="141" t="s">
        <v>848</v>
      </c>
      <c r="K93" s="16" t="s">
        <v>1138</v>
      </c>
      <c r="L93" s="18">
        <v>13</v>
      </c>
      <c r="M93" s="31">
        <v>302664572</v>
      </c>
    </row>
    <row r="94" spans="1:13" ht="60" x14ac:dyDescent="0.25">
      <c r="A94" s="18">
        <v>88</v>
      </c>
      <c r="B94" s="31">
        <v>18</v>
      </c>
      <c r="C94" s="146" t="s">
        <v>1139</v>
      </c>
      <c r="D94" s="16" t="s">
        <v>230</v>
      </c>
      <c r="E94" s="16" t="s">
        <v>1140</v>
      </c>
      <c r="F94" s="17">
        <f t="shared" si="3"/>
        <v>337.91748526522503</v>
      </c>
      <c r="G94" s="17">
        <v>220.03929273084401</v>
      </c>
      <c r="H94" s="150">
        <v>117.878192534381</v>
      </c>
      <c r="I94" s="151">
        <v>2800</v>
      </c>
      <c r="J94" s="141" t="s">
        <v>848</v>
      </c>
      <c r="K94" s="16" t="s">
        <v>1141</v>
      </c>
      <c r="L94" s="18">
        <v>6</v>
      </c>
      <c r="M94" s="31">
        <v>307016384</v>
      </c>
    </row>
    <row r="95" spans="1:13" ht="30" x14ac:dyDescent="0.25">
      <c r="A95" s="18">
        <v>89</v>
      </c>
      <c r="B95" s="31">
        <v>19</v>
      </c>
      <c r="C95" s="146" t="s">
        <v>1142</v>
      </c>
      <c r="D95" s="16" t="s">
        <v>20</v>
      </c>
      <c r="E95" s="16" t="s">
        <v>406</v>
      </c>
      <c r="F95" s="17">
        <f t="shared" si="3"/>
        <v>113.15520452726551</v>
      </c>
      <c r="G95" s="17">
        <v>72.185177065515802</v>
      </c>
      <c r="H95" s="150">
        <v>40.970027461749702</v>
      </c>
      <c r="I95" s="151">
        <v>920</v>
      </c>
      <c r="J95" s="141" t="s">
        <v>848</v>
      </c>
      <c r="K95" s="16" t="s">
        <v>1143</v>
      </c>
      <c r="L95" s="18">
        <v>5</v>
      </c>
      <c r="M95" s="31">
        <v>304821225</v>
      </c>
    </row>
    <row r="96" spans="1:13" ht="30" x14ac:dyDescent="0.25">
      <c r="A96" s="18">
        <v>90</v>
      </c>
      <c r="B96" s="31">
        <v>20</v>
      </c>
      <c r="C96" s="146" t="s">
        <v>1144</v>
      </c>
      <c r="D96" s="16" t="s">
        <v>20</v>
      </c>
      <c r="E96" s="16" t="s">
        <v>406</v>
      </c>
      <c r="F96" s="17">
        <f t="shared" si="3"/>
        <v>87.092977638289398</v>
      </c>
      <c r="G96" s="17">
        <v>54.923499411533903</v>
      </c>
      <c r="H96" s="150">
        <v>32.169478226755501</v>
      </c>
      <c r="I96" s="151">
        <v>700</v>
      </c>
      <c r="J96" s="141" t="s">
        <v>848</v>
      </c>
      <c r="K96" s="16" t="s">
        <v>1145</v>
      </c>
      <c r="L96" s="18">
        <v>2</v>
      </c>
      <c r="M96" s="31">
        <v>308968664</v>
      </c>
    </row>
    <row r="97" spans="1:13" ht="15.75" x14ac:dyDescent="0.25">
      <c r="A97" s="18">
        <v>91</v>
      </c>
      <c r="B97" s="31">
        <v>21</v>
      </c>
      <c r="C97" s="146" t="s">
        <v>1146</v>
      </c>
      <c r="D97" s="16" t="s">
        <v>20</v>
      </c>
      <c r="E97" s="16" t="s">
        <v>406</v>
      </c>
      <c r="F97" s="17">
        <f t="shared" si="3"/>
        <v>435.51995286724241</v>
      </c>
      <c r="G97" s="17">
        <f>I97/12.73</f>
        <v>235.66378633150038</v>
      </c>
      <c r="H97" s="150">
        <v>199.85616653574201</v>
      </c>
      <c r="I97" s="151">
        <v>3000</v>
      </c>
      <c r="J97" s="141" t="s">
        <v>848</v>
      </c>
      <c r="K97" s="16" t="s">
        <v>1147</v>
      </c>
      <c r="L97" s="18">
        <v>4</v>
      </c>
      <c r="M97" s="31">
        <v>307705169</v>
      </c>
    </row>
    <row r="98" spans="1:13" ht="31.5" x14ac:dyDescent="0.25">
      <c r="A98" s="18">
        <v>92</v>
      </c>
      <c r="B98" s="31">
        <v>22</v>
      </c>
      <c r="C98" s="146" t="s">
        <v>1148</v>
      </c>
      <c r="D98" s="16" t="s">
        <v>20</v>
      </c>
      <c r="E98" s="16" t="s">
        <v>406</v>
      </c>
      <c r="F98" s="17">
        <f t="shared" si="3"/>
        <v>133.55518185373478</v>
      </c>
      <c r="G98" s="17">
        <f>I98/12.785</f>
        <v>70.394994133750487</v>
      </c>
      <c r="H98" s="150">
        <v>63.1601877199843</v>
      </c>
      <c r="I98" s="151">
        <v>900</v>
      </c>
      <c r="J98" s="141" t="s">
        <v>848</v>
      </c>
      <c r="K98" s="16" t="s">
        <v>1149</v>
      </c>
      <c r="L98" s="18">
        <v>4</v>
      </c>
      <c r="M98" s="31">
        <v>309253059</v>
      </c>
    </row>
    <row r="99" spans="1:13" ht="15.75" x14ac:dyDescent="0.25">
      <c r="A99" s="18">
        <v>93</v>
      </c>
      <c r="B99" s="31">
        <v>23</v>
      </c>
      <c r="C99" s="146" t="s">
        <v>1150</v>
      </c>
      <c r="D99" s="16" t="s">
        <v>20</v>
      </c>
      <c r="E99" s="16" t="s">
        <v>406</v>
      </c>
      <c r="F99" s="17">
        <f t="shared" si="3"/>
        <v>269.8474775117233</v>
      </c>
      <c r="G99" s="17">
        <f>I99/12.785</f>
        <v>156.4333202972233</v>
      </c>
      <c r="H99" s="150">
        <v>113.41415721449999</v>
      </c>
      <c r="I99" s="151">
        <v>2000</v>
      </c>
      <c r="J99" s="141" t="s">
        <v>848</v>
      </c>
      <c r="K99" s="16" t="s">
        <v>1151</v>
      </c>
      <c r="L99" s="18">
        <v>4</v>
      </c>
      <c r="M99" s="31">
        <v>304831134</v>
      </c>
    </row>
    <row r="100" spans="1:13" ht="15.75" x14ac:dyDescent="0.25">
      <c r="A100" s="18">
        <v>94</v>
      </c>
      <c r="B100" s="31">
        <v>24</v>
      </c>
      <c r="C100" s="146" t="s">
        <v>1152</v>
      </c>
      <c r="D100" s="16" t="s">
        <v>20</v>
      </c>
      <c r="E100" s="16" t="s">
        <v>169</v>
      </c>
      <c r="F100" s="17">
        <f t="shared" si="3"/>
        <v>532.62195669435505</v>
      </c>
      <c r="G100" s="17">
        <f>I100/12.80803</f>
        <v>288.88127213943125</v>
      </c>
      <c r="H100" s="17">
        <f>3121.838/12.80803</f>
        <v>243.74068455492375</v>
      </c>
      <c r="I100" s="151">
        <v>3700</v>
      </c>
      <c r="J100" s="141" t="s">
        <v>848</v>
      </c>
      <c r="K100" s="16" t="s">
        <v>1153</v>
      </c>
      <c r="L100" s="18">
        <v>8</v>
      </c>
      <c r="M100" s="31">
        <v>303853574</v>
      </c>
    </row>
    <row r="101" spans="1:13" ht="47.25" x14ac:dyDescent="0.25">
      <c r="A101" s="18">
        <v>95</v>
      </c>
      <c r="B101" s="31">
        <v>25</v>
      </c>
      <c r="C101" s="146" t="s">
        <v>1154</v>
      </c>
      <c r="D101" s="16" t="s">
        <v>14</v>
      </c>
      <c r="E101" s="16" t="s">
        <v>1155</v>
      </c>
      <c r="F101" s="17">
        <f t="shared" si="3"/>
        <v>1201.9766205499477</v>
      </c>
      <c r="G101" s="17">
        <f>I101/12.80013</f>
        <v>156.24841310205443</v>
      </c>
      <c r="H101" s="150">
        <f>13385.457/12.80013</f>
        <v>1045.7282074478933</v>
      </c>
      <c r="I101" s="151">
        <v>2000</v>
      </c>
      <c r="J101" s="141" t="s">
        <v>848</v>
      </c>
      <c r="K101" s="16" t="s">
        <v>1156</v>
      </c>
      <c r="L101" s="18">
        <v>39</v>
      </c>
      <c r="M101" s="31">
        <v>303155840</v>
      </c>
    </row>
    <row r="102" spans="1:13" ht="30" x14ac:dyDescent="0.25">
      <c r="A102" s="18">
        <v>96</v>
      </c>
      <c r="B102" s="31">
        <v>26</v>
      </c>
      <c r="C102" s="146" t="s">
        <v>1157</v>
      </c>
      <c r="D102" s="16" t="s">
        <v>14</v>
      </c>
      <c r="E102" s="16" t="s">
        <v>943</v>
      </c>
      <c r="F102" s="17">
        <f t="shared" si="3"/>
        <v>518.38127498846006</v>
      </c>
      <c r="G102" s="17">
        <f>I102/12.80341</f>
        <v>210.88131989837083</v>
      </c>
      <c r="H102" s="150">
        <f>3937.048/12.80341</f>
        <v>307.49995509008926</v>
      </c>
      <c r="I102" s="151">
        <v>2700</v>
      </c>
      <c r="J102" s="141" t="s">
        <v>848</v>
      </c>
      <c r="K102" s="16" t="s">
        <v>1158</v>
      </c>
      <c r="L102" s="18">
        <v>5</v>
      </c>
      <c r="M102" s="31">
        <v>203133444</v>
      </c>
    </row>
    <row r="103" spans="1:13" ht="15.75" x14ac:dyDescent="0.25">
      <c r="A103" s="18">
        <v>97</v>
      </c>
      <c r="B103" s="31">
        <v>27</v>
      </c>
      <c r="C103" s="146" t="s">
        <v>1159</v>
      </c>
      <c r="D103" s="16" t="s">
        <v>77</v>
      </c>
      <c r="E103" s="16" t="s">
        <v>1160</v>
      </c>
      <c r="F103" s="17">
        <f t="shared" si="3"/>
        <v>169.88141176470589</v>
      </c>
      <c r="G103" s="17">
        <f>I103/12.75</f>
        <v>65.882352941176464</v>
      </c>
      <c r="H103" s="150">
        <f>1325.988/12.75</f>
        <v>103.99905882352941</v>
      </c>
      <c r="I103" s="151">
        <v>840</v>
      </c>
      <c r="J103" s="141" t="s">
        <v>848</v>
      </c>
      <c r="K103" s="16" t="s">
        <v>1161</v>
      </c>
      <c r="L103" s="18">
        <v>4</v>
      </c>
      <c r="M103" s="31">
        <v>308069739</v>
      </c>
    </row>
    <row r="104" spans="1:13" ht="15.75" x14ac:dyDescent="0.25">
      <c r="A104" s="18">
        <v>98</v>
      </c>
      <c r="B104" s="31">
        <v>28</v>
      </c>
      <c r="C104" s="146" t="s">
        <v>1162</v>
      </c>
      <c r="D104" s="138" t="s">
        <v>441</v>
      </c>
      <c r="E104" s="16" t="s">
        <v>979</v>
      </c>
      <c r="F104" s="17">
        <f t="shared" si="3"/>
        <v>119.12980392156862</v>
      </c>
      <c r="G104" s="17">
        <f>I104/12.75</f>
        <v>78.039215686274517</v>
      </c>
      <c r="H104" s="150">
        <f>523.905/12.75</f>
        <v>41.090588235294113</v>
      </c>
      <c r="I104" s="151">
        <v>995</v>
      </c>
      <c r="J104" s="141" t="s">
        <v>848</v>
      </c>
      <c r="K104" s="16" t="s">
        <v>1163</v>
      </c>
      <c r="L104" s="18">
        <v>10</v>
      </c>
      <c r="M104" s="31">
        <v>311460087</v>
      </c>
    </row>
    <row r="105" spans="1:13" ht="45" x14ac:dyDescent="0.25">
      <c r="A105" s="18">
        <v>99</v>
      </c>
      <c r="B105" s="31">
        <v>29</v>
      </c>
      <c r="C105" s="146" t="s">
        <v>1164</v>
      </c>
      <c r="D105" s="16" t="s">
        <v>48</v>
      </c>
      <c r="E105" s="16" t="s">
        <v>152</v>
      </c>
      <c r="F105" s="17">
        <f t="shared" si="3"/>
        <v>1095.7337812270503</v>
      </c>
      <c r="G105" s="17">
        <f>I105/12.85424</f>
        <v>208.38649348386213</v>
      </c>
      <c r="H105" s="150">
        <f>11406.175/12.85424</f>
        <v>887.34728774318808</v>
      </c>
      <c r="I105" s="151">
        <v>2678.65</v>
      </c>
      <c r="J105" s="141" t="s">
        <v>980</v>
      </c>
      <c r="K105" s="16" t="s">
        <v>1165</v>
      </c>
      <c r="L105" s="18">
        <v>114</v>
      </c>
      <c r="M105" s="31">
        <v>205011064</v>
      </c>
    </row>
    <row r="106" spans="1:13" ht="31.5" x14ac:dyDescent="0.25">
      <c r="A106" s="18">
        <v>100</v>
      </c>
      <c r="B106" s="31">
        <v>30</v>
      </c>
      <c r="C106" s="146" t="s">
        <v>1166</v>
      </c>
      <c r="D106" s="16" t="s">
        <v>1089</v>
      </c>
      <c r="E106" s="16" t="s">
        <v>1167</v>
      </c>
      <c r="F106" s="17">
        <f t="shared" si="3"/>
        <v>105.70467483937847</v>
      </c>
      <c r="G106" s="17">
        <f>I106/12.90241</f>
        <v>73.629655234952224</v>
      </c>
      <c r="H106" s="150">
        <f>412.3/12.85424</f>
        <v>32.075019604426245</v>
      </c>
      <c r="I106" s="151">
        <v>950</v>
      </c>
      <c r="J106" s="141" t="s">
        <v>1168</v>
      </c>
      <c r="K106" s="138" t="s">
        <v>1169</v>
      </c>
      <c r="L106" s="18">
        <v>6</v>
      </c>
      <c r="M106" s="31">
        <v>308730193</v>
      </c>
    </row>
    <row r="107" spans="1:13" ht="45" x14ac:dyDescent="0.25">
      <c r="A107" s="18">
        <v>101</v>
      </c>
      <c r="B107" s="31">
        <v>31</v>
      </c>
      <c r="C107" s="146" t="s">
        <v>1170</v>
      </c>
      <c r="D107" s="16" t="s">
        <v>26</v>
      </c>
      <c r="E107" s="16" t="s">
        <v>1171</v>
      </c>
      <c r="F107" s="17">
        <f t="shared" si="3"/>
        <v>304.3454891148757</v>
      </c>
      <c r="G107" s="17">
        <f>I107/12.85424</f>
        <v>213.93719115249129</v>
      </c>
      <c r="H107" s="150">
        <f>1162.12996/12.85424</f>
        <v>90.408297962384395</v>
      </c>
      <c r="I107" s="151">
        <v>2750</v>
      </c>
      <c r="J107" s="141" t="s">
        <v>848</v>
      </c>
      <c r="K107" s="138" t="s">
        <v>1172</v>
      </c>
      <c r="L107" s="18">
        <v>8</v>
      </c>
      <c r="M107" s="31">
        <v>202787984</v>
      </c>
    </row>
    <row r="108" spans="1:13" ht="15.75" x14ac:dyDescent="0.25">
      <c r="A108" s="18">
        <v>102</v>
      </c>
      <c r="B108" s="31">
        <v>32</v>
      </c>
      <c r="C108" s="146" t="s">
        <v>1173</v>
      </c>
      <c r="D108" s="16" t="s">
        <v>230</v>
      </c>
      <c r="E108" s="16" t="s">
        <v>249</v>
      </c>
      <c r="F108" s="17">
        <f t="shared" si="3"/>
        <v>66.219438755199207</v>
      </c>
      <c r="G108" s="17">
        <f t="shared" ref="G108:G111" si="4">I108/12.83611</f>
        <v>42.847872135717132</v>
      </c>
      <c r="H108" s="150">
        <f>300/12.83611</f>
        <v>23.371566619482071</v>
      </c>
      <c r="I108" s="151">
        <v>550</v>
      </c>
      <c r="J108" s="141" t="s">
        <v>848</v>
      </c>
      <c r="K108" s="16" t="s">
        <v>1174</v>
      </c>
      <c r="L108" s="18">
        <v>3</v>
      </c>
      <c r="M108" s="31">
        <v>310057073</v>
      </c>
    </row>
    <row r="109" spans="1:13" ht="15.75" x14ac:dyDescent="0.25">
      <c r="A109" s="18">
        <v>103</v>
      </c>
      <c r="B109" s="31">
        <v>33</v>
      </c>
      <c r="C109" s="146" t="s">
        <v>1175</v>
      </c>
      <c r="D109" s="16" t="s">
        <v>230</v>
      </c>
      <c r="E109" s="16" t="s">
        <v>1176</v>
      </c>
      <c r="F109" s="17">
        <f t="shared" si="3"/>
        <v>116.85783309741035</v>
      </c>
      <c r="G109" s="17">
        <f t="shared" si="4"/>
        <v>77.905222064940233</v>
      </c>
      <c r="H109" s="150">
        <f>500/12.83611</f>
        <v>38.952611032470116</v>
      </c>
      <c r="I109" s="151">
        <v>1000</v>
      </c>
      <c r="J109" s="141" t="s">
        <v>848</v>
      </c>
      <c r="K109" s="16" t="s">
        <v>1177</v>
      </c>
      <c r="L109" s="18">
        <v>4</v>
      </c>
      <c r="M109" s="31">
        <v>307813834</v>
      </c>
    </row>
    <row r="110" spans="1:13" ht="15.75" x14ac:dyDescent="0.25">
      <c r="A110" s="18">
        <v>104</v>
      </c>
      <c r="B110" s="31">
        <v>34</v>
      </c>
      <c r="C110" s="146" t="s">
        <v>1178</v>
      </c>
      <c r="D110" s="16" t="s">
        <v>230</v>
      </c>
      <c r="E110" s="16" t="s">
        <v>249</v>
      </c>
      <c r="F110" s="17">
        <f t="shared" si="3"/>
        <v>89.591005374681274</v>
      </c>
      <c r="G110" s="17">
        <f t="shared" si="4"/>
        <v>62.324177651952191</v>
      </c>
      <c r="H110" s="150">
        <f>350/12.83611</f>
        <v>27.266827722729083</v>
      </c>
      <c r="I110" s="151">
        <v>800</v>
      </c>
      <c r="J110" s="141" t="s">
        <v>848</v>
      </c>
      <c r="K110" s="16" t="s">
        <v>1179</v>
      </c>
      <c r="L110" s="18">
        <v>4</v>
      </c>
      <c r="M110" s="31">
        <v>202120453</v>
      </c>
    </row>
    <row r="111" spans="1:13" ht="15.75" x14ac:dyDescent="0.25">
      <c r="A111" s="18">
        <v>105</v>
      </c>
      <c r="B111" s="31">
        <v>35</v>
      </c>
      <c r="C111" s="146" t="s">
        <v>1180</v>
      </c>
      <c r="D111" s="16" t="s">
        <v>230</v>
      </c>
      <c r="E111" s="16" t="s">
        <v>1094</v>
      </c>
      <c r="F111" s="17">
        <f t="shared" si="3"/>
        <v>82.228182837323772</v>
      </c>
      <c r="G111" s="17">
        <f t="shared" si="4"/>
        <v>54.533655445458166</v>
      </c>
      <c r="H111" s="150">
        <f>355.49/12.83611</f>
        <v>27.694527391865606</v>
      </c>
      <c r="I111" s="151">
        <v>700</v>
      </c>
      <c r="J111" s="141" t="s">
        <v>848</v>
      </c>
      <c r="K111" s="138" t="s">
        <v>1181</v>
      </c>
      <c r="L111" s="18">
        <v>4</v>
      </c>
      <c r="M111" s="31">
        <v>306376968</v>
      </c>
    </row>
    <row r="112" spans="1:13" ht="15.75" x14ac:dyDescent="0.25">
      <c r="A112" s="18">
        <v>106</v>
      </c>
      <c r="B112" s="31">
        <v>36</v>
      </c>
      <c r="C112" s="146" t="s">
        <v>1182</v>
      </c>
      <c r="D112" s="16" t="s">
        <v>77</v>
      </c>
      <c r="E112" s="16" t="s">
        <v>137</v>
      </c>
      <c r="F112" s="17">
        <f t="shared" si="3"/>
        <v>93.254703064743936</v>
      </c>
      <c r="G112" s="17">
        <f>I112/12.88398</f>
        <v>62.092614238767837</v>
      </c>
      <c r="H112" s="150">
        <f>400/12.83611</f>
        <v>31.162088825976095</v>
      </c>
      <c r="I112" s="151">
        <v>800</v>
      </c>
      <c r="J112" s="141" t="s">
        <v>848</v>
      </c>
      <c r="K112" s="138" t="s">
        <v>1183</v>
      </c>
      <c r="L112" s="18">
        <v>3</v>
      </c>
      <c r="M112" s="31">
        <v>300979410</v>
      </c>
    </row>
    <row r="113" spans="1:13" ht="30" x14ac:dyDescent="0.25">
      <c r="A113" s="18">
        <v>107</v>
      </c>
      <c r="B113" s="31">
        <v>37</v>
      </c>
      <c r="C113" s="146" t="s">
        <v>1184</v>
      </c>
      <c r="D113" s="138" t="s">
        <v>441</v>
      </c>
      <c r="E113" s="16" t="s">
        <v>1185</v>
      </c>
      <c r="F113" s="17">
        <f t="shared" si="3"/>
        <v>167.89017855045117</v>
      </c>
      <c r="G113" s="17">
        <f>I113/12.88398</f>
        <v>116.42365169768969</v>
      </c>
      <c r="H113" s="150">
        <f>660.63/12.83611</f>
        <v>51.466526852761469</v>
      </c>
      <c r="I113" s="151">
        <v>1500</v>
      </c>
      <c r="J113" s="141" t="s">
        <v>848</v>
      </c>
      <c r="K113" s="138" t="s">
        <v>1186</v>
      </c>
      <c r="L113" s="18">
        <v>18</v>
      </c>
      <c r="M113" s="31">
        <v>305206940</v>
      </c>
    </row>
    <row r="114" spans="1:13" ht="30" x14ac:dyDescent="0.25">
      <c r="A114" s="18">
        <v>108</v>
      </c>
      <c r="B114" s="31">
        <v>38</v>
      </c>
      <c r="C114" s="146" t="s">
        <v>1187</v>
      </c>
      <c r="D114" s="138" t="s">
        <v>324</v>
      </c>
      <c r="E114" s="16" t="s">
        <v>1125</v>
      </c>
      <c r="F114" s="17">
        <f t="shared" si="3"/>
        <v>133.26011072159599</v>
      </c>
      <c r="G114" s="17">
        <f>I114/12.88398</f>
        <v>93.138921358151762</v>
      </c>
      <c r="H114" s="150">
        <f>515/12.83611</f>
        <v>40.121189363444223</v>
      </c>
      <c r="I114" s="151">
        <v>1200</v>
      </c>
      <c r="J114" s="141" t="s">
        <v>848</v>
      </c>
      <c r="K114" s="138" t="s">
        <v>1188</v>
      </c>
      <c r="L114" s="18">
        <v>4</v>
      </c>
      <c r="M114" s="31">
        <v>307037106</v>
      </c>
    </row>
    <row r="115" spans="1:13" ht="30" x14ac:dyDescent="0.25">
      <c r="A115" s="18">
        <v>109</v>
      </c>
      <c r="B115" s="31">
        <v>39</v>
      </c>
      <c r="C115" s="146" t="s">
        <v>1189</v>
      </c>
      <c r="D115" s="138" t="s">
        <v>253</v>
      </c>
      <c r="E115" s="16" t="s">
        <v>1190</v>
      </c>
      <c r="F115" s="17">
        <f t="shared" si="3"/>
        <v>201.08433253229049</v>
      </c>
      <c r="G115" s="17">
        <f>I115/12.89464</f>
        <v>120.2049843966175</v>
      </c>
      <c r="H115" s="150">
        <f>1045/12.92048</f>
        <v>80.879348135672984</v>
      </c>
      <c r="I115" s="151">
        <v>1550</v>
      </c>
      <c r="J115" s="141" t="s">
        <v>848</v>
      </c>
      <c r="K115" s="138" t="s">
        <v>1191</v>
      </c>
      <c r="L115" s="18">
        <v>6</v>
      </c>
      <c r="M115" s="31">
        <v>204697177</v>
      </c>
    </row>
    <row r="116" spans="1:13" ht="31.5" x14ac:dyDescent="0.25">
      <c r="A116" s="18">
        <v>110</v>
      </c>
      <c r="B116" s="31">
        <v>40</v>
      </c>
      <c r="C116" s="146" t="s">
        <v>1192</v>
      </c>
      <c r="D116" s="138" t="s">
        <v>324</v>
      </c>
      <c r="E116" s="16" t="s">
        <v>1125</v>
      </c>
      <c r="F116" s="17">
        <f t="shared" si="3"/>
        <v>287.93127088815345</v>
      </c>
      <c r="G116" s="17">
        <f>I116/12.89464</f>
        <v>201.6341673749713</v>
      </c>
      <c r="H116" s="150">
        <f>1115/12.92048</f>
        <v>86.297103513182179</v>
      </c>
      <c r="I116" s="151">
        <v>2600</v>
      </c>
      <c r="J116" s="141" t="s">
        <v>848</v>
      </c>
      <c r="K116" s="138" t="s">
        <v>1193</v>
      </c>
      <c r="L116" s="18">
        <v>18</v>
      </c>
      <c r="M116" s="31">
        <v>307635604</v>
      </c>
    </row>
    <row r="117" spans="1:13" ht="30" x14ac:dyDescent="0.25">
      <c r="A117" s="18">
        <v>111</v>
      </c>
      <c r="B117" s="31">
        <v>41</v>
      </c>
      <c r="C117" s="146" t="s">
        <v>1194</v>
      </c>
      <c r="D117" s="16" t="s">
        <v>48</v>
      </c>
      <c r="E117" s="16" t="s">
        <v>936</v>
      </c>
      <c r="F117" s="17">
        <f t="shared" si="3"/>
        <v>101.99200769468649</v>
      </c>
      <c r="G117" s="17">
        <f>I117/12.90241</f>
        <v>50.378185160756793</v>
      </c>
      <c r="H117" s="150">
        <f>665.9427/12.90241</f>
        <v>51.613822533929707</v>
      </c>
      <c r="I117" s="151">
        <v>650</v>
      </c>
      <c r="J117" s="141" t="s">
        <v>848</v>
      </c>
      <c r="K117" s="138" t="s">
        <v>1195</v>
      </c>
      <c r="L117" s="18">
        <v>4</v>
      </c>
      <c r="M117" s="31">
        <v>304697736</v>
      </c>
    </row>
    <row r="118" spans="1:13" ht="30" x14ac:dyDescent="0.25">
      <c r="A118" s="18">
        <v>112</v>
      </c>
      <c r="B118" s="31">
        <v>42</v>
      </c>
      <c r="C118" s="146" t="s">
        <v>1196</v>
      </c>
      <c r="D118" s="138" t="s">
        <v>441</v>
      </c>
      <c r="E118" s="16" t="s">
        <v>1055</v>
      </c>
      <c r="F118" s="17">
        <f t="shared" si="3"/>
        <v>38.565368299267263</v>
      </c>
      <c r="G118" s="17">
        <f>I118/12.965</f>
        <v>24.681835711531047</v>
      </c>
      <c r="H118" s="150">
        <f>180/12.965</f>
        <v>13.883532587736212</v>
      </c>
      <c r="I118" s="151">
        <v>320</v>
      </c>
      <c r="J118" s="141" t="s">
        <v>1168</v>
      </c>
      <c r="K118" s="138" t="s">
        <v>1197</v>
      </c>
      <c r="L118" s="18">
        <v>4</v>
      </c>
      <c r="M118" s="31">
        <v>303061420</v>
      </c>
    </row>
    <row r="119" spans="1:13" ht="30" x14ac:dyDescent="0.25">
      <c r="A119" s="18">
        <v>113</v>
      </c>
      <c r="B119" s="31">
        <v>43</v>
      </c>
      <c r="C119" s="146" t="s">
        <v>1198</v>
      </c>
      <c r="D119" s="16" t="s">
        <v>225</v>
      </c>
      <c r="E119" s="16" t="s">
        <v>656</v>
      </c>
      <c r="F119" s="17">
        <f t="shared" si="3"/>
        <v>49.363671423062087</v>
      </c>
      <c r="G119" s="17">
        <f>I119/12.965</f>
        <v>34.554569996143464</v>
      </c>
      <c r="H119" s="150">
        <f>192/12.965</f>
        <v>14.809101426918627</v>
      </c>
      <c r="I119" s="151">
        <v>448</v>
      </c>
      <c r="J119" s="141" t="s">
        <v>848</v>
      </c>
      <c r="K119" s="138" t="s">
        <v>1199</v>
      </c>
      <c r="L119" s="18">
        <v>5</v>
      </c>
      <c r="M119" s="31">
        <v>202806817</v>
      </c>
    </row>
    <row r="120" spans="1:13" ht="30" x14ac:dyDescent="0.25">
      <c r="A120" s="18">
        <v>114</v>
      </c>
      <c r="B120" s="31">
        <v>44</v>
      </c>
      <c r="C120" s="146" t="s">
        <v>1200</v>
      </c>
      <c r="D120" s="16" t="s">
        <v>230</v>
      </c>
      <c r="E120" s="16" t="s">
        <v>249</v>
      </c>
      <c r="F120" s="17">
        <f t="shared" si="3"/>
        <v>115.69610489780177</v>
      </c>
      <c r="G120" s="17">
        <f>I120/12.965</f>
        <v>53.991515618974162</v>
      </c>
      <c r="H120" s="150">
        <f>800/12.965</f>
        <v>61.704589278827612</v>
      </c>
      <c r="I120" s="151">
        <v>700</v>
      </c>
      <c r="J120" s="141" t="s">
        <v>848</v>
      </c>
      <c r="K120" s="138" t="s">
        <v>1201</v>
      </c>
      <c r="L120" s="18">
        <v>4</v>
      </c>
      <c r="M120" s="31">
        <v>304612026</v>
      </c>
    </row>
    <row r="121" spans="1:13" ht="30" x14ac:dyDescent="0.25">
      <c r="A121" s="18">
        <v>115</v>
      </c>
      <c r="B121" s="31">
        <v>45</v>
      </c>
      <c r="C121" s="146" t="s">
        <v>1202</v>
      </c>
      <c r="D121" s="16" t="s">
        <v>48</v>
      </c>
      <c r="E121" s="16" t="s">
        <v>1203</v>
      </c>
      <c r="F121" s="17">
        <f t="shared" si="3"/>
        <v>65.561126108754337</v>
      </c>
      <c r="G121" s="17">
        <f>I121/12.965</f>
        <v>46.278441959120713</v>
      </c>
      <c r="H121" s="150">
        <f>250/12.965</f>
        <v>19.282684149633628</v>
      </c>
      <c r="I121" s="151">
        <v>600</v>
      </c>
      <c r="J121" s="141" t="s">
        <v>848</v>
      </c>
      <c r="K121" s="138" t="s">
        <v>1204</v>
      </c>
      <c r="L121" s="18">
        <v>3</v>
      </c>
      <c r="M121" s="31">
        <v>307242968</v>
      </c>
    </row>
    <row r="122" spans="1:13" ht="30" x14ac:dyDescent="0.25">
      <c r="A122" s="18">
        <v>116</v>
      </c>
      <c r="B122" s="31">
        <v>46</v>
      </c>
      <c r="C122" s="146" t="s">
        <v>1205</v>
      </c>
      <c r="D122" s="138" t="s">
        <v>253</v>
      </c>
      <c r="E122" s="16" t="s">
        <v>1206</v>
      </c>
      <c r="F122" s="17">
        <f t="shared" si="3"/>
        <v>1226.7231612255923</v>
      </c>
      <c r="G122" s="17">
        <f>I122/12.957</f>
        <v>567.26094003241485</v>
      </c>
      <c r="H122" s="150">
        <f>8544.652/12.957</f>
        <v>659.46222119317736</v>
      </c>
      <c r="I122" s="151">
        <v>7350</v>
      </c>
      <c r="J122" s="141" t="s">
        <v>848</v>
      </c>
      <c r="K122" s="138" t="s">
        <v>1207</v>
      </c>
      <c r="L122" s="18">
        <v>30</v>
      </c>
      <c r="M122" s="31">
        <v>304633214</v>
      </c>
    </row>
    <row r="123" spans="1:13" ht="15.75" x14ac:dyDescent="0.25">
      <c r="A123" s="18">
        <v>117</v>
      </c>
      <c r="B123" s="31">
        <v>47</v>
      </c>
      <c r="C123" s="146" t="s">
        <v>1208</v>
      </c>
      <c r="D123" s="16" t="s">
        <v>14</v>
      </c>
      <c r="E123" s="16" t="s">
        <v>1209</v>
      </c>
      <c r="F123" s="17">
        <f t="shared" si="3"/>
        <v>177.17393079474448</v>
      </c>
      <c r="G123" s="17">
        <f>I123/12.85885</f>
        <v>56.459170143519835</v>
      </c>
      <c r="H123" s="150">
        <f>1552.253/12.85885</f>
        <v>120.71476065122464</v>
      </c>
      <c r="I123" s="151">
        <v>726</v>
      </c>
      <c r="J123" s="141" t="s">
        <v>848</v>
      </c>
      <c r="K123" s="138" t="s">
        <v>1210</v>
      </c>
      <c r="L123" s="18">
        <v>7</v>
      </c>
      <c r="M123" s="31">
        <v>305298471</v>
      </c>
    </row>
    <row r="124" spans="1:13" ht="45" x14ac:dyDescent="0.25">
      <c r="A124" s="18">
        <v>118</v>
      </c>
      <c r="B124" s="31">
        <v>48</v>
      </c>
      <c r="C124" s="146" t="s">
        <v>1211</v>
      </c>
      <c r="D124" s="16" t="s">
        <v>32</v>
      </c>
      <c r="E124" s="16" t="s">
        <v>276</v>
      </c>
      <c r="F124" s="17">
        <f t="shared" si="3"/>
        <v>278.54873016597639</v>
      </c>
      <c r="G124" s="17">
        <f>I124/12.92413</f>
        <v>193.43661817081693</v>
      </c>
      <c r="H124" s="150">
        <f>1100/12.92413</f>
        <v>85.112111995159438</v>
      </c>
      <c r="I124" s="151">
        <v>2500</v>
      </c>
      <c r="J124" s="141" t="s">
        <v>848</v>
      </c>
      <c r="K124" s="138" t="s">
        <v>1212</v>
      </c>
      <c r="L124" s="18">
        <v>7</v>
      </c>
      <c r="M124" s="31">
        <v>201230444</v>
      </c>
    </row>
    <row r="125" spans="1:13" ht="30" x14ac:dyDescent="0.25">
      <c r="A125" s="18">
        <v>119</v>
      </c>
      <c r="B125" s="31">
        <v>49</v>
      </c>
      <c r="C125" s="146" t="s">
        <v>323</v>
      </c>
      <c r="D125" s="16" t="s">
        <v>324</v>
      </c>
      <c r="E125" s="16" t="s">
        <v>996</v>
      </c>
      <c r="F125" s="17">
        <f t="shared" si="3"/>
        <v>73.461522401124654</v>
      </c>
      <c r="G125" s="17">
        <f>I125/12.93194</f>
        <v>39.823877933241256</v>
      </c>
      <c r="H125" s="17">
        <f>435/12.93194</f>
        <v>33.637644467883391</v>
      </c>
      <c r="I125" s="151">
        <v>515</v>
      </c>
      <c r="J125" s="141" t="s">
        <v>848</v>
      </c>
      <c r="K125" s="16" t="s">
        <v>1213</v>
      </c>
      <c r="L125" s="18">
        <v>6</v>
      </c>
      <c r="M125" s="31">
        <v>302528271</v>
      </c>
    </row>
    <row r="126" spans="1:13" ht="31.5" x14ac:dyDescent="0.25">
      <c r="A126" s="18">
        <v>120</v>
      </c>
      <c r="B126" s="31">
        <v>50</v>
      </c>
      <c r="C126" s="146" t="s">
        <v>1061</v>
      </c>
      <c r="D126" s="16" t="s">
        <v>32</v>
      </c>
      <c r="E126" s="16" t="s">
        <v>1214</v>
      </c>
      <c r="F126" s="17">
        <f t="shared" si="3"/>
        <v>104.41375295821055</v>
      </c>
      <c r="G126" s="17">
        <f>I126/12.92937</f>
        <v>63.962899971150954</v>
      </c>
      <c r="H126" s="17">
        <f>523/12.92927</f>
        <v>40.450852987059591</v>
      </c>
      <c r="I126" s="151">
        <v>827</v>
      </c>
      <c r="J126" s="141" t="s">
        <v>848</v>
      </c>
      <c r="K126" s="16" t="s">
        <v>1215</v>
      </c>
      <c r="L126" s="18">
        <v>6</v>
      </c>
      <c r="M126" s="31">
        <v>309831945</v>
      </c>
    </row>
    <row r="127" spans="1:13" ht="30" x14ac:dyDescent="0.25">
      <c r="A127" s="18">
        <v>121</v>
      </c>
      <c r="B127" s="31">
        <v>51</v>
      </c>
      <c r="C127" s="146" t="s">
        <v>1216</v>
      </c>
      <c r="D127" s="16" t="s">
        <v>856</v>
      </c>
      <c r="E127" s="16" t="s">
        <v>1217</v>
      </c>
      <c r="F127" s="17">
        <f t="shared" si="3"/>
        <v>315.15020527447234</v>
      </c>
      <c r="G127" s="17">
        <f>I127/12.92937</f>
        <v>79.054509229761379</v>
      </c>
      <c r="H127" s="17">
        <f>3052.545/12.92927</f>
        <v>236.09569604471093</v>
      </c>
      <c r="I127" s="151">
        <v>1022.125</v>
      </c>
      <c r="J127" s="141" t="s">
        <v>848</v>
      </c>
      <c r="K127" s="138" t="s">
        <v>1218</v>
      </c>
      <c r="L127" s="18">
        <v>10</v>
      </c>
      <c r="M127" s="31">
        <v>303641316</v>
      </c>
    </row>
    <row r="128" spans="1:13" ht="15.75" x14ac:dyDescent="0.25">
      <c r="A128" s="18">
        <v>122</v>
      </c>
      <c r="B128" s="31">
        <v>52</v>
      </c>
      <c r="C128" s="146" t="s">
        <v>1097</v>
      </c>
      <c r="D128" s="16" t="s">
        <v>14</v>
      </c>
      <c r="E128" s="16" t="s">
        <v>965</v>
      </c>
      <c r="F128" s="17">
        <f t="shared" si="3"/>
        <v>179.53327598954371</v>
      </c>
      <c r="G128" s="17">
        <f>I128/12.92937</f>
        <v>58.007466721116337</v>
      </c>
      <c r="H128" s="17">
        <f>1571.24/12.92927</f>
        <v>121.52580926842737</v>
      </c>
      <c r="I128" s="151">
        <v>750</v>
      </c>
      <c r="J128" s="16" t="s">
        <v>1098</v>
      </c>
      <c r="K128" s="138" t="s">
        <v>1219</v>
      </c>
      <c r="L128" s="18">
        <v>6</v>
      </c>
      <c r="M128" s="31">
        <v>300899265</v>
      </c>
    </row>
    <row r="129" spans="1:13" ht="15.75" x14ac:dyDescent="0.25">
      <c r="A129" s="18">
        <v>123</v>
      </c>
      <c r="B129" s="31">
        <v>53</v>
      </c>
      <c r="C129" s="146" t="s">
        <v>1220</v>
      </c>
      <c r="D129" s="16" t="s">
        <v>856</v>
      </c>
      <c r="E129" s="16" t="s">
        <v>1221</v>
      </c>
      <c r="F129" s="17">
        <f t="shared" si="3"/>
        <v>48.115167476309267</v>
      </c>
      <c r="G129" s="17">
        <f>I129/12.9481</f>
        <v>33.20950564175439</v>
      </c>
      <c r="H129" s="17">
        <f>193/12.9481</f>
        <v>14.905661834554877</v>
      </c>
      <c r="I129" s="151">
        <v>430</v>
      </c>
      <c r="J129" s="141" t="s">
        <v>848</v>
      </c>
      <c r="K129" s="16" t="s">
        <v>1222</v>
      </c>
      <c r="L129" s="18">
        <v>4</v>
      </c>
      <c r="M129" s="31">
        <v>311130552</v>
      </c>
    </row>
    <row r="130" spans="1:13" ht="30" x14ac:dyDescent="0.25">
      <c r="A130" s="18">
        <v>124</v>
      </c>
      <c r="B130" s="31">
        <v>54</v>
      </c>
      <c r="C130" s="146" t="s">
        <v>1223</v>
      </c>
      <c r="D130" s="16" t="s">
        <v>48</v>
      </c>
      <c r="E130" s="16" t="s">
        <v>578</v>
      </c>
      <c r="F130" s="17">
        <f t="shared" si="3"/>
        <v>77.134127763426534</v>
      </c>
      <c r="G130" s="17">
        <f>I130/12.96443</f>
        <v>46.280476658055925</v>
      </c>
      <c r="H130" s="17">
        <f>400/12.96443</f>
        <v>30.853651105370616</v>
      </c>
      <c r="I130" s="151">
        <v>600</v>
      </c>
      <c r="J130" s="141" t="s">
        <v>848</v>
      </c>
      <c r="K130" s="138" t="s">
        <v>1224</v>
      </c>
      <c r="L130" s="18">
        <v>3</v>
      </c>
      <c r="M130" s="31">
        <v>304933354</v>
      </c>
    </row>
    <row r="131" spans="1:13" ht="15.75" x14ac:dyDescent="0.25">
      <c r="A131" s="18">
        <v>125</v>
      </c>
      <c r="B131" s="31">
        <v>55</v>
      </c>
      <c r="C131" s="146" t="s">
        <v>1225</v>
      </c>
      <c r="D131" s="16" t="s">
        <v>225</v>
      </c>
      <c r="E131" s="16" t="s">
        <v>1226</v>
      </c>
      <c r="F131" s="17">
        <f t="shared" si="3"/>
        <v>303.86707502265494</v>
      </c>
      <c r="G131" s="17">
        <f>I131/12.93316</f>
        <v>115.980935826975</v>
      </c>
      <c r="H131" s="17">
        <f>2429.9615/12.93316</f>
        <v>187.88613919567993</v>
      </c>
      <c r="I131" s="151">
        <v>1500</v>
      </c>
      <c r="J131" s="141" t="s">
        <v>848</v>
      </c>
      <c r="K131" s="138" t="s">
        <v>1227</v>
      </c>
      <c r="L131" s="18">
        <v>4</v>
      </c>
      <c r="M131" s="31">
        <v>306611105</v>
      </c>
    </row>
    <row r="132" spans="1:13" ht="15.75" x14ac:dyDescent="0.25">
      <c r="A132" s="18">
        <v>126</v>
      </c>
      <c r="B132" s="31">
        <v>56</v>
      </c>
      <c r="C132" s="146" t="s">
        <v>1228</v>
      </c>
      <c r="D132" s="16" t="s">
        <v>225</v>
      </c>
      <c r="E132" s="16" t="s">
        <v>1229</v>
      </c>
      <c r="F132" s="17">
        <f t="shared" si="3"/>
        <v>1118.3107946339617</v>
      </c>
      <c r="G132" s="17">
        <f>I132/12.9481</f>
        <v>345.9967099419992</v>
      </c>
      <c r="H132" s="17">
        <f>10000/12.9481</f>
        <v>772.31408469196253</v>
      </c>
      <c r="I132" s="151">
        <v>4480</v>
      </c>
      <c r="J132" s="141" t="s">
        <v>848</v>
      </c>
      <c r="K132" s="138" t="s">
        <v>1230</v>
      </c>
      <c r="L132" s="18">
        <v>16</v>
      </c>
      <c r="M132" s="31">
        <v>302422414</v>
      </c>
    </row>
    <row r="133" spans="1:13" ht="30" x14ac:dyDescent="0.25">
      <c r="A133" s="18">
        <v>127</v>
      </c>
      <c r="B133" s="31">
        <v>57</v>
      </c>
      <c r="C133" s="146" t="s">
        <v>1231</v>
      </c>
      <c r="D133" s="16" t="s">
        <v>324</v>
      </c>
      <c r="E133" s="16" t="s">
        <v>1232</v>
      </c>
      <c r="F133" s="17">
        <f t="shared" si="3"/>
        <v>110.78018386187483</v>
      </c>
      <c r="G133" s="17">
        <f>I133/12.89555</f>
        <v>77.546130254234981</v>
      </c>
      <c r="H133" s="17">
        <f>428.5714/12.89555</f>
        <v>33.234053607639844</v>
      </c>
      <c r="I133" s="151">
        <v>1000</v>
      </c>
      <c r="J133" s="141" t="s">
        <v>848</v>
      </c>
      <c r="K133" s="16" t="s">
        <v>1233</v>
      </c>
      <c r="L133" s="18">
        <v>3</v>
      </c>
      <c r="M133" s="31">
        <v>305663571</v>
      </c>
    </row>
    <row r="134" spans="1:13" ht="15.75" x14ac:dyDescent="0.25">
      <c r="A134" s="18">
        <v>128</v>
      </c>
      <c r="B134" s="31">
        <v>58</v>
      </c>
      <c r="C134" s="146" t="s">
        <v>1234</v>
      </c>
      <c r="D134" s="16" t="s">
        <v>1089</v>
      </c>
      <c r="E134" s="16" t="s">
        <v>1167</v>
      </c>
      <c r="F134" s="17">
        <f t="shared" si="3"/>
        <v>1026.8537819958401</v>
      </c>
      <c r="G134" s="17">
        <f>I134/12.93801</f>
        <v>605.19353439980341</v>
      </c>
      <c r="H134" s="17">
        <f>5455.4445/12.93801</f>
        <v>421.66024759603675</v>
      </c>
      <c r="I134" s="151">
        <v>7830</v>
      </c>
      <c r="J134" s="141" t="s">
        <v>848</v>
      </c>
      <c r="K134" s="138" t="s">
        <v>1235</v>
      </c>
      <c r="L134" s="18">
        <v>10</v>
      </c>
      <c r="M134" s="31">
        <v>203112098</v>
      </c>
    </row>
    <row r="135" spans="1:13" ht="30" x14ac:dyDescent="0.25">
      <c r="A135" s="18">
        <v>129</v>
      </c>
      <c r="B135" s="31">
        <v>59</v>
      </c>
      <c r="C135" s="146" t="s">
        <v>1236</v>
      </c>
      <c r="D135" s="16" t="s">
        <v>324</v>
      </c>
      <c r="E135" s="16" t="s">
        <v>426</v>
      </c>
      <c r="F135" s="17">
        <f t="shared" si="3"/>
        <v>34.856295240566531</v>
      </c>
      <c r="G135" s="17">
        <f t="shared" ref="G135:G145" si="5">I135/12.91015</f>
        <v>23.237530160377688</v>
      </c>
      <c r="H135" s="17">
        <f>150/12.91015</f>
        <v>11.618765080188844</v>
      </c>
      <c r="I135" s="151">
        <v>300</v>
      </c>
      <c r="J135" s="141" t="s">
        <v>848</v>
      </c>
      <c r="K135" s="138" t="s">
        <v>1237</v>
      </c>
      <c r="L135" s="18">
        <v>4</v>
      </c>
      <c r="M135" s="31">
        <v>305750227</v>
      </c>
    </row>
    <row r="136" spans="1:13" ht="15.75" x14ac:dyDescent="0.25">
      <c r="A136" s="18">
        <v>130</v>
      </c>
      <c r="B136" s="31">
        <v>60</v>
      </c>
      <c r="C136" s="146" t="s">
        <v>1238</v>
      </c>
      <c r="D136" s="16" t="s">
        <v>14</v>
      </c>
      <c r="E136" s="16" t="s">
        <v>133</v>
      </c>
      <c r="F136" s="17">
        <f t="shared" si="3"/>
        <v>297.45975066130143</v>
      </c>
      <c r="G136" s="17">
        <f t="shared" si="5"/>
        <v>92.578320158944706</v>
      </c>
      <c r="H136" s="17">
        <f>2645.05/12.91015</f>
        <v>204.88143050235669</v>
      </c>
      <c r="I136" s="151">
        <v>1195.2</v>
      </c>
      <c r="J136" s="141" t="s">
        <v>848</v>
      </c>
      <c r="K136" s="138" t="s">
        <v>1239</v>
      </c>
      <c r="L136" s="18">
        <v>6</v>
      </c>
      <c r="M136" s="31">
        <v>300157610</v>
      </c>
    </row>
    <row r="137" spans="1:13" ht="15.75" x14ac:dyDescent="0.25">
      <c r="A137" s="18">
        <v>131</v>
      </c>
      <c r="B137" s="31">
        <v>61</v>
      </c>
      <c r="C137" s="146" t="s">
        <v>1240</v>
      </c>
      <c r="D137" s="16" t="s">
        <v>20</v>
      </c>
      <c r="E137" s="16" t="s">
        <v>406</v>
      </c>
      <c r="F137" s="17">
        <f t="shared" si="3"/>
        <v>88.862283224596212</v>
      </c>
      <c r="G137" s="17">
        <f>I137/12.93793</f>
        <v>54.104481937991629</v>
      </c>
      <c r="H137" s="17">
        <f>449.694/12.93793</f>
        <v>34.757801286604582</v>
      </c>
      <c r="I137" s="151">
        <v>700</v>
      </c>
      <c r="J137" s="141" t="s">
        <v>848</v>
      </c>
      <c r="K137" s="138" t="s">
        <v>1241</v>
      </c>
      <c r="L137" s="18">
        <v>4</v>
      </c>
      <c r="M137" s="31">
        <v>304923572</v>
      </c>
    </row>
    <row r="138" spans="1:13" ht="15.75" x14ac:dyDescent="0.25">
      <c r="A138" s="18">
        <v>132</v>
      </c>
      <c r="B138" s="31">
        <v>62</v>
      </c>
      <c r="C138" s="146" t="s">
        <v>1242</v>
      </c>
      <c r="D138" s="16" t="s">
        <v>441</v>
      </c>
      <c r="E138" s="16" t="s">
        <v>1243</v>
      </c>
      <c r="F138" s="17">
        <f t="shared" si="3"/>
        <v>193.41019776733992</v>
      </c>
      <c r="G138" s="17">
        <f>I138/12.93793</f>
        <v>92.750540465128509</v>
      </c>
      <c r="H138" s="17">
        <f>1302.3276/12.93793</f>
        <v>100.65965730221141</v>
      </c>
      <c r="I138" s="151">
        <v>1200</v>
      </c>
      <c r="J138" s="141" t="s">
        <v>848</v>
      </c>
      <c r="K138" s="138" t="s">
        <v>1244</v>
      </c>
      <c r="L138" s="18">
        <v>6</v>
      </c>
      <c r="M138" s="31">
        <v>201683062</v>
      </c>
    </row>
    <row r="139" spans="1:13" ht="15.75" x14ac:dyDescent="0.25">
      <c r="A139" s="18">
        <v>133</v>
      </c>
      <c r="B139" s="31">
        <v>63</v>
      </c>
      <c r="C139" s="146" t="s">
        <v>1245</v>
      </c>
      <c r="D139" s="16" t="s">
        <v>230</v>
      </c>
      <c r="E139" s="16" t="s">
        <v>543</v>
      </c>
      <c r="F139" s="17">
        <f t="shared" si="3"/>
        <v>243.29618416547316</v>
      </c>
      <c r="G139" s="17">
        <f>I139/12.93793</f>
        <v>166.39446959444055</v>
      </c>
      <c r="H139" s="17">
        <f>994.949/12.93793</f>
        <v>76.901714571032613</v>
      </c>
      <c r="I139" s="151">
        <v>2152.8000000000002</v>
      </c>
      <c r="J139" s="141" t="s">
        <v>848</v>
      </c>
      <c r="K139" s="16" t="s">
        <v>1246</v>
      </c>
      <c r="L139" s="18">
        <v>4</v>
      </c>
      <c r="M139" s="31">
        <v>300850177</v>
      </c>
    </row>
    <row r="140" spans="1:13" ht="15.75" x14ac:dyDescent="0.25">
      <c r="A140" s="18">
        <v>134</v>
      </c>
      <c r="B140" s="31">
        <v>64</v>
      </c>
      <c r="C140" s="146" t="s">
        <v>1247</v>
      </c>
      <c r="D140" s="16" t="s">
        <v>20</v>
      </c>
      <c r="E140" s="16" t="s">
        <v>284</v>
      </c>
      <c r="F140" s="17">
        <f t="shared" si="3"/>
        <v>59.128469546519419</v>
      </c>
      <c r="G140" s="17">
        <f>I140/12.93793</f>
        <v>32.462689162794973</v>
      </c>
      <c r="H140" s="17">
        <f>345/12.93793</f>
        <v>26.665780383724446</v>
      </c>
      <c r="I140" s="151">
        <v>420</v>
      </c>
      <c r="J140" s="141" t="s">
        <v>848</v>
      </c>
      <c r="K140" s="16" t="s">
        <v>1248</v>
      </c>
      <c r="L140" s="18">
        <v>4</v>
      </c>
      <c r="M140" s="31">
        <v>307107975</v>
      </c>
    </row>
    <row r="141" spans="1:13" ht="30" x14ac:dyDescent="0.25">
      <c r="A141" s="18">
        <v>135</v>
      </c>
      <c r="B141" s="31">
        <v>65</v>
      </c>
      <c r="C141" s="146" t="s">
        <v>1249</v>
      </c>
      <c r="D141" s="16" t="s">
        <v>26</v>
      </c>
      <c r="E141" s="16" t="s">
        <v>1017</v>
      </c>
      <c r="F141" s="17">
        <f t="shared" ref="F141:F155" si="6">+G141+H141</f>
        <v>1139.110894606182</v>
      </c>
      <c r="G141" s="17">
        <f t="shared" si="5"/>
        <v>402.78385611321323</v>
      </c>
      <c r="H141" s="17">
        <f>9506.092516/12.91015</f>
        <v>736.32703849296877</v>
      </c>
      <c r="I141" s="151">
        <v>5200</v>
      </c>
      <c r="J141" s="141" t="s">
        <v>848</v>
      </c>
      <c r="K141" s="138" t="s">
        <v>1250</v>
      </c>
      <c r="L141" s="18">
        <v>10</v>
      </c>
      <c r="M141" s="31">
        <v>305394979</v>
      </c>
    </row>
    <row r="142" spans="1:13" ht="30" x14ac:dyDescent="0.25">
      <c r="A142" s="18">
        <v>136</v>
      </c>
      <c r="B142" s="31">
        <v>66</v>
      </c>
      <c r="C142" s="146" t="s">
        <v>1251</v>
      </c>
      <c r="D142" s="16" t="s">
        <v>324</v>
      </c>
      <c r="E142" s="16" t="s">
        <v>675</v>
      </c>
      <c r="F142" s="17">
        <f t="shared" si="6"/>
        <v>144.19662048853036</v>
      </c>
      <c r="G142" s="17">
        <f t="shared" si="5"/>
        <v>100.69596402830331</v>
      </c>
      <c r="H142" s="17">
        <f>561.6/12.91015</f>
        <v>43.500656460227034</v>
      </c>
      <c r="I142" s="151">
        <v>1300</v>
      </c>
      <c r="J142" s="141" t="s">
        <v>848</v>
      </c>
      <c r="K142" s="138" t="s">
        <v>1252</v>
      </c>
      <c r="L142" s="18">
        <v>8</v>
      </c>
      <c r="M142" s="31">
        <v>310801366</v>
      </c>
    </row>
    <row r="143" spans="1:13" ht="15.75" x14ac:dyDescent="0.25">
      <c r="A143" s="18">
        <v>137</v>
      </c>
      <c r="B143" s="31">
        <v>67</v>
      </c>
      <c r="C143" s="146" t="s">
        <v>1253</v>
      </c>
      <c r="D143" s="16" t="s">
        <v>32</v>
      </c>
      <c r="E143" s="16" t="s">
        <v>1214</v>
      </c>
      <c r="F143" s="17">
        <f t="shared" si="6"/>
        <v>216.88361483019173</v>
      </c>
      <c r="G143" s="17">
        <f t="shared" si="5"/>
        <v>147.17102434905868</v>
      </c>
      <c r="H143" s="17">
        <f>900/12.91015</f>
        <v>69.712590481133063</v>
      </c>
      <c r="I143" s="151">
        <v>1900</v>
      </c>
      <c r="J143" s="141" t="s">
        <v>848</v>
      </c>
      <c r="K143" s="138" t="s">
        <v>1254</v>
      </c>
      <c r="L143" s="18">
        <v>4</v>
      </c>
      <c r="M143" s="31">
        <v>302509390</v>
      </c>
    </row>
    <row r="144" spans="1:13" ht="31.5" x14ac:dyDescent="0.25">
      <c r="A144" s="18">
        <v>138</v>
      </c>
      <c r="B144" s="31">
        <v>68</v>
      </c>
      <c r="C144" s="146" t="s">
        <v>1255</v>
      </c>
      <c r="D144" s="16" t="s">
        <v>225</v>
      </c>
      <c r="E144" s="16" t="s">
        <v>1226</v>
      </c>
      <c r="F144" s="17">
        <f t="shared" si="6"/>
        <v>1057.8647033535628</v>
      </c>
      <c r="G144" s="17">
        <f t="shared" si="5"/>
        <v>472.49644659434631</v>
      </c>
      <c r="H144" s="17">
        <f>7557.192/12.91015</f>
        <v>585.36825675921659</v>
      </c>
      <c r="I144" s="151">
        <v>6100</v>
      </c>
      <c r="J144" s="141" t="s">
        <v>848</v>
      </c>
      <c r="K144" s="138" t="s">
        <v>1256</v>
      </c>
      <c r="L144" s="18">
        <v>13</v>
      </c>
      <c r="M144" s="31">
        <v>202534547</v>
      </c>
    </row>
    <row r="145" spans="1:13" ht="30" x14ac:dyDescent="0.25">
      <c r="A145" s="18">
        <v>139</v>
      </c>
      <c r="B145" s="31">
        <v>69</v>
      </c>
      <c r="C145" s="146" t="s">
        <v>1257</v>
      </c>
      <c r="D145" s="16" t="s">
        <v>230</v>
      </c>
      <c r="E145" s="16" t="s">
        <v>1258</v>
      </c>
      <c r="F145" s="17">
        <f t="shared" si="6"/>
        <v>221.53112086226727</v>
      </c>
      <c r="G145" s="17">
        <f t="shared" si="5"/>
        <v>154.91686773585124</v>
      </c>
      <c r="H145" s="17">
        <f>860/12.91015</f>
        <v>66.614253126416031</v>
      </c>
      <c r="I145" s="151">
        <v>2000</v>
      </c>
      <c r="J145" s="141" t="s">
        <v>848</v>
      </c>
      <c r="K145" s="138" t="s">
        <v>1259</v>
      </c>
      <c r="L145" s="18">
        <v>52</v>
      </c>
      <c r="M145" s="31">
        <v>305562817</v>
      </c>
    </row>
    <row r="146" spans="1:13" ht="15.75" x14ac:dyDescent="0.25">
      <c r="A146" s="18">
        <v>140</v>
      </c>
      <c r="B146" s="31">
        <v>70</v>
      </c>
      <c r="C146" s="146" t="s">
        <v>1260</v>
      </c>
      <c r="D146" s="16" t="s">
        <v>225</v>
      </c>
      <c r="E146" s="16" t="s">
        <v>551</v>
      </c>
      <c r="F146" s="17">
        <f t="shared" si="6"/>
        <v>52.202599066118879</v>
      </c>
      <c r="G146" s="17">
        <f>I146/
12.83461</f>
        <v>31.165730785742614</v>
      </c>
      <c r="H146" s="17">
        <f>270/
12.83461</f>
        <v>21.036868280376265</v>
      </c>
      <c r="I146" s="151">
        <v>400</v>
      </c>
      <c r="J146" s="141" t="s">
        <v>848</v>
      </c>
      <c r="K146" s="138" t="s">
        <v>1261</v>
      </c>
      <c r="L146" s="18">
        <v>5</v>
      </c>
      <c r="M146" s="31">
        <v>305344010</v>
      </c>
    </row>
    <row r="147" spans="1:13" ht="15.75" x14ac:dyDescent="0.25">
      <c r="A147" s="18">
        <v>141</v>
      </c>
      <c r="B147" s="31">
        <v>71</v>
      </c>
      <c r="C147" s="146" t="s">
        <v>1262</v>
      </c>
      <c r="D147" s="16" t="s">
        <v>441</v>
      </c>
      <c r="E147" s="16" t="s">
        <v>1243</v>
      </c>
      <c r="F147" s="17">
        <f t="shared" si="6"/>
        <v>28.487815367977682</v>
      </c>
      <c r="G147" s="17">
        <f>I147/
12.83461</f>
        <v>19.478581741089133</v>
      </c>
      <c r="H147" s="17">
        <f>115.63/
12.83461</f>
        <v>9.0092336268885465</v>
      </c>
      <c r="I147" s="151">
        <v>250</v>
      </c>
      <c r="J147" s="141" t="s">
        <v>848</v>
      </c>
      <c r="K147" s="138" t="s">
        <v>1263</v>
      </c>
      <c r="L147" s="18">
        <v>4</v>
      </c>
      <c r="M147" s="31">
        <v>309276250</v>
      </c>
    </row>
    <row r="148" spans="1:13" ht="31.5" x14ac:dyDescent="0.25">
      <c r="A148" s="18">
        <v>142</v>
      </c>
      <c r="B148" s="31">
        <v>72</v>
      </c>
      <c r="C148" s="146" t="s">
        <v>1264</v>
      </c>
      <c r="D148" s="16" t="s">
        <v>324</v>
      </c>
      <c r="E148" s="16" t="s">
        <v>1265</v>
      </c>
      <c r="F148" s="17">
        <f t="shared" si="6"/>
        <v>290.0284107388502</v>
      </c>
      <c r="G148" s="17">
        <f>I148/
12.85735</f>
        <v>202.21896425002041</v>
      </c>
      <c r="H148" s="17">
        <f>1127/
12.83461</f>
        <v>87.809446488829821</v>
      </c>
      <c r="I148" s="151">
        <v>2600</v>
      </c>
      <c r="J148" s="141" t="s">
        <v>848</v>
      </c>
      <c r="K148" s="138" t="s">
        <v>1266</v>
      </c>
      <c r="L148" s="18">
        <v>4</v>
      </c>
      <c r="M148" s="31">
        <v>309270798</v>
      </c>
    </row>
    <row r="149" spans="1:13" ht="30" x14ac:dyDescent="0.25">
      <c r="A149" s="18">
        <v>143</v>
      </c>
      <c r="B149" s="31">
        <v>73</v>
      </c>
      <c r="C149" s="146" t="s">
        <v>1267</v>
      </c>
      <c r="D149" s="16" t="s">
        <v>324</v>
      </c>
      <c r="E149" s="16" t="s">
        <v>351</v>
      </c>
      <c r="F149" s="17">
        <f t="shared" si="6"/>
        <v>109.55601270868414</v>
      </c>
      <c r="G149" s="17">
        <f>I149/
12.85735</f>
        <v>76.220994217315379</v>
      </c>
      <c r="H149" s="17">
        <f>428.6/
12.85735</f>
        <v>33.33501849136875</v>
      </c>
      <c r="I149" s="151">
        <v>980</v>
      </c>
      <c r="J149" s="141" t="s">
        <v>848</v>
      </c>
      <c r="K149" s="16" t="s">
        <v>1268</v>
      </c>
      <c r="L149" s="18">
        <v>5</v>
      </c>
      <c r="M149" s="31">
        <v>203401094</v>
      </c>
    </row>
    <row r="150" spans="1:13" ht="15.75" x14ac:dyDescent="0.25">
      <c r="A150" s="18">
        <v>144</v>
      </c>
      <c r="B150" s="31">
        <v>74</v>
      </c>
      <c r="C150" s="146" t="s">
        <v>1269</v>
      </c>
      <c r="D150" s="16" t="s">
        <v>441</v>
      </c>
      <c r="E150" s="16" t="s">
        <v>1055</v>
      </c>
      <c r="F150" s="17">
        <f t="shared" si="6"/>
        <v>166.61415912585795</v>
      </c>
      <c r="G150" s="17">
        <f>I150/12.67437</f>
        <v>114.40410844878286</v>
      </c>
      <c r="H150" s="17">
        <f>661.7295/12.67437</f>
        <v>52.210050677075074</v>
      </c>
      <c r="I150" s="151">
        <v>1450</v>
      </c>
      <c r="J150" s="141" t="s">
        <v>848</v>
      </c>
      <c r="K150" s="138" t="s">
        <v>1270</v>
      </c>
      <c r="L150" s="18">
        <v>5</v>
      </c>
      <c r="M150" s="31">
        <v>202333045</v>
      </c>
    </row>
    <row r="151" spans="1:13" ht="15.75" x14ac:dyDescent="0.25">
      <c r="A151" s="18">
        <v>145</v>
      </c>
      <c r="B151" s="31">
        <v>75</v>
      </c>
      <c r="C151" s="146" t="s">
        <v>1271</v>
      </c>
      <c r="D151" s="16" t="s">
        <v>230</v>
      </c>
      <c r="E151" s="16" t="s">
        <v>878</v>
      </c>
      <c r="F151" s="17">
        <f t="shared" si="6"/>
        <v>54.606264453381115</v>
      </c>
      <c r="G151" s="17">
        <f>I151/12.67437</f>
        <v>37.871704865803984</v>
      </c>
      <c r="H151" s="17">
        <f>212.1/12.67437</f>
        <v>16.734559587577134</v>
      </c>
      <c r="I151" s="151">
        <v>480</v>
      </c>
      <c r="J151" s="141" t="s">
        <v>848</v>
      </c>
      <c r="K151" s="138" t="s">
        <v>1272</v>
      </c>
      <c r="L151" s="18">
        <v>3</v>
      </c>
      <c r="M151" s="31">
        <v>312153934</v>
      </c>
    </row>
    <row r="152" spans="1:13" ht="45" x14ac:dyDescent="0.25">
      <c r="A152" s="18">
        <v>146</v>
      </c>
      <c r="B152" s="31">
        <v>76</v>
      </c>
      <c r="C152" s="146" t="s">
        <v>1273</v>
      </c>
      <c r="D152" s="16" t="s">
        <v>14</v>
      </c>
      <c r="E152" s="16" t="s">
        <v>303</v>
      </c>
      <c r="F152" s="17">
        <f t="shared" si="6"/>
        <v>102.24168550785625</v>
      </c>
      <c r="G152" s="148">
        <f>I152/12.61863</f>
        <v>71.323115108375475</v>
      </c>
      <c r="H152" s="148">
        <f>390.15/12.61863</f>
        <v>30.918570399480767</v>
      </c>
      <c r="I152" s="151">
        <v>900</v>
      </c>
      <c r="J152" s="141" t="s">
        <v>848</v>
      </c>
      <c r="K152" s="138" t="s">
        <v>1274</v>
      </c>
      <c r="L152" s="18">
        <v>2</v>
      </c>
      <c r="M152" s="31">
        <v>308342296</v>
      </c>
    </row>
    <row r="153" spans="1:13" ht="30" x14ac:dyDescent="0.25">
      <c r="A153" s="18">
        <v>147</v>
      </c>
      <c r="B153" s="31">
        <v>77</v>
      </c>
      <c r="C153" s="146" t="s">
        <v>1275</v>
      </c>
      <c r="D153" s="16" t="s">
        <v>32</v>
      </c>
      <c r="E153" s="16" t="s">
        <v>44</v>
      </c>
      <c r="F153" s="17">
        <f t="shared" si="6"/>
        <v>105.39971454904375</v>
      </c>
      <c r="G153" s="148">
        <f>I153/12.61863</f>
        <v>73.700552278654655</v>
      </c>
      <c r="H153" s="148">
        <f>400/12.61863</f>
        <v>31.699162270389099</v>
      </c>
      <c r="I153" s="151">
        <v>930</v>
      </c>
      <c r="J153" s="141" t="s">
        <v>848</v>
      </c>
      <c r="K153" s="138" t="s">
        <v>1276</v>
      </c>
      <c r="L153" s="18">
        <v>2</v>
      </c>
      <c r="M153" s="31">
        <v>301220739</v>
      </c>
    </row>
    <row r="154" spans="1:13" ht="30" x14ac:dyDescent="0.25">
      <c r="A154" s="18">
        <v>148</v>
      </c>
      <c r="B154" s="31">
        <v>78</v>
      </c>
      <c r="C154" s="146" t="s">
        <v>1277</v>
      </c>
      <c r="D154" s="16" t="s">
        <v>20</v>
      </c>
      <c r="E154" s="16" t="s">
        <v>1021</v>
      </c>
      <c r="F154" s="17">
        <f t="shared" si="6"/>
        <v>99.059882094965928</v>
      </c>
      <c r="G154" s="148">
        <f>I154/12.61863</f>
        <v>67.360719824576833</v>
      </c>
      <c r="H154" s="148">
        <f>400/12.61863</f>
        <v>31.699162270389099</v>
      </c>
      <c r="I154" s="151">
        <v>850</v>
      </c>
      <c r="J154" s="141" t="s">
        <v>848</v>
      </c>
      <c r="K154" s="138" t="s">
        <v>1278</v>
      </c>
      <c r="L154" s="18">
        <v>3</v>
      </c>
      <c r="M154" s="31">
        <v>204564152</v>
      </c>
    </row>
    <row r="155" spans="1:13" ht="30" x14ac:dyDescent="0.25">
      <c r="A155" s="18">
        <v>149</v>
      </c>
      <c r="B155" s="31">
        <v>79</v>
      </c>
      <c r="C155" s="146" t="s">
        <v>1279</v>
      </c>
      <c r="D155" s="16" t="s">
        <v>230</v>
      </c>
      <c r="E155" s="16" t="s">
        <v>878</v>
      </c>
      <c r="F155" s="17">
        <f t="shared" si="6"/>
        <v>90.509033072528482</v>
      </c>
      <c r="G155" s="148">
        <f>I155/12.61863</f>
        <v>45.963785292064195</v>
      </c>
      <c r="H155" s="148">
        <f>562.1/12.61863</f>
        <v>44.545247780464287</v>
      </c>
      <c r="I155" s="151">
        <v>580</v>
      </c>
      <c r="J155" s="141" t="s">
        <v>848</v>
      </c>
      <c r="K155" s="138" t="s">
        <v>1280</v>
      </c>
      <c r="L155" s="18">
        <v>3</v>
      </c>
      <c r="M155" s="31">
        <v>312169580</v>
      </c>
    </row>
    <row r="156" spans="1:13" x14ac:dyDescent="0.25">
      <c r="A156" s="18"/>
      <c r="B156" s="31"/>
      <c r="C156" s="37" t="s">
        <v>362</v>
      </c>
      <c r="D156" s="16"/>
      <c r="E156" s="16"/>
      <c r="F156" s="33">
        <f>SUM(F77:F155)</f>
        <v>20916.775717344201</v>
      </c>
      <c r="G156" s="33">
        <f>SUM(G77:G155)</f>
        <v>9655.7724849937058</v>
      </c>
      <c r="H156" s="33">
        <f>SUM(H77:H155)</f>
        <v>11261.003232350493</v>
      </c>
      <c r="I156" s="33">
        <f>SUM(I77:I155)</f>
        <v>123850.255</v>
      </c>
      <c r="J156" s="16"/>
      <c r="K156" s="16"/>
      <c r="L156" s="144">
        <f>SUM(L77:L155)</f>
        <v>742</v>
      </c>
      <c r="M156" s="19"/>
    </row>
    <row r="157" spans="1:13" x14ac:dyDescent="0.25">
      <c r="A157" s="18"/>
      <c r="B157" s="31"/>
      <c r="C157" s="37" t="s">
        <v>363</v>
      </c>
      <c r="D157" s="16"/>
      <c r="E157" s="16"/>
      <c r="F157" s="17"/>
      <c r="G157" s="152">
        <f>G76-G156</f>
        <v>45344.227515006292</v>
      </c>
      <c r="H157" s="17"/>
      <c r="I157" s="64"/>
      <c r="J157" s="16"/>
      <c r="K157" s="16"/>
      <c r="L157" s="18"/>
      <c r="M157" s="19"/>
    </row>
    <row r="158" spans="1:13" ht="15.75" x14ac:dyDescent="0.25">
      <c r="A158" s="18"/>
      <c r="B158" s="31"/>
      <c r="C158" s="149" t="s">
        <v>1105</v>
      </c>
      <c r="D158" s="16"/>
      <c r="E158" s="16"/>
      <c r="F158" s="17"/>
      <c r="G158" s="152">
        <f>15000+10000</f>
        <v>25000</v>
      </c>
      <c r="H158" s="17"/>
      <c r="I158" s="64"/>
      <c r="J158" s="16"/>
      <c r="K158" s="16"/>
      <c r="L158" s="18"/>
      <c r="M158" s="19"/>
    </row>
    <row r="159" spans="1:13" ht="30" x14ac:dyDescent="0.25">
      <c r="A159" s="18">
        <v>150</v>
      </c>
      <c r="B159" s="31">
        <v>1</v>
      </c>
      <c r="C159" s="15" t="s">
        <v>1281</v>
      </c>
      <c r="D159" s="16" t="s">
        <v>1089</v>
      </c>
      <c r="E159" s="16" t="s">
        <v>1282</v>
      </c>
      <c r="F159" s="17">
        <f t="shared" ref="F159:F184" si="7">+G159+H159</f>
        <v>106.77845448074032</v>
      </c>
      <c r="G159" s="17">
        <f>(900000000/12643)/1000</f>
        <v>71.185636320493543</v>
      </c>
      <c r="H159" s="17">
        <f>(450000000/12643)/1000</f>
        <v>35.592818160246772</v>
      </c>
      <c r="I159" s="64">
        <v>900</v>
      </c>
      <c r="J159" s="16" t="s">
        <v>864</v>
      </c>
      <c r="K159" s="16" t="s">
        <v>1283</v>
      </c>
      <c r="L159" s="18">
        <v>4</v>
      </c>
      <c r="M159" s="19" t="s">
        <v>1284</v>
      </c>
    </row>
    <row r="160" spans="1:13" ht="30" x14ac:dyDescent="0.25">
      <c r="A160" s="18">
        <v>151</v>
      </c>
      <c r="B160" s="31">
        <v>2</v>
      </c>
      <c r="C160" s="153" t="s">
        <v>1285</v>
      </c>
      <c r="D160" s="138" t="s">
        <v>253</v>
      </c>
      <c r="E160" s="16" t="s">
        <v>254</v>
      </c>
      <c r="F160" s="17">
        <f t="shared" si="7"/>
        <v>357.11460887447504</v>
      </c>
      <c r="G160" s="17">
        <v>237.28545440164501</v>
      </c>
      <c r="H160" s="17">
        <v>119.82915447283</v>
      </c>
      <c r="I160" s="151">
        <v>3000</v>
      </c>
      <c r="J160" s="16" t="s">
        <v>864</v>
      </c>
      <c r="K160" s="16" t="s">
        <v>1286</v>
      </c>
      <c r="L160" s="18">
        <v>15</v>
      </c>
      <c r="M160" s="19" t="s">
        <v>1287</v>
      </c>
    </row>
    <row r="161" spans="1:13" ht="30" x14ac:dyDescent="0.25">
      <c r="A161" s="18">
        <v>152</v>
      </c>
      <c r="B161" s="31">
        <v>3</v>
      </c>
      <c r="C161" s="153" t="s">
        <v>1288</v>
      </c>
      <c r="D161" s="16" t="s">
        <v>20</v>
      </c>
      <c r="E161" s="16" t="s">
        <v>169</v>
      </c>
      <c r="F161" s="17">
        <f t="shared" si="7"/>
        <v>75.7449592180336</v>
      </c>
      <c r="G161" s="17">
        <v>47.619198791107301</v>
      </c>
      <c r="H161" s="17">
        <v>28.125760426926298</v>
      </c>
      <c r="I161" s="151">
        <v>600</v>
      </c>
      <c r="J161" s="16" t="s">
        <v>980</v>
      </c>
      <c r="K161" s="16" t="s">
        <v>1289</v>
      </c>
      <c r="L161" s="18">
        <v>3</v>
      </c>
      <c r="M161" s="19" t="s">
        <v>1290</v>
      </c>
    </row>
    <row r="162" spans="1:13" ht="30" x14ac:dyDescent="0.25">
      <c r="A162" s="18">
        <v>153</v>
      </c>
      <c r="B162" s="31">
        <v>4</v>
      </c>
      <c r="C162" s="146" t="s">
        <v>1291</v>
      </c>
      <c r="D162" s="16" t="s">
        <v>32</v>
      </c>
      <c r="E162" s="16" t="s">
        <v>1292</v>
      </c>
      <c r="F162" s="17">
        <f t="shared" si="7"/>
        <v>118.67079219083149</v>
      </c>
      <c r="G162" s="17">
        <v>79.113861460555199</v>
      </c>
      <c r="H162" s="17">
        <v>39.556930730276299</v>
      </c>
      <c r="I162" s="151">
        <v>1000</v>
      </c>
      <c r="J162" s="16" t="s">
        <v>843</v>
      </c>
      <c r="K162" s="16" t="s">
        <v>1293</v>
      </c>
      <c r="L162" s="18">
        <v>6</v>
      </c>
      <c r="M162" s="19" t="s">
        <v>1294</v>
      </c>
    </row>
    <row r="163" spans="1:13" ht="31.5" x14ac:dyDescent="0.25">
      <c r="A163" s="18">
        <v>154</v>
      </c>
      <c r="B163" s="31">
        <v>5</v>
      </c>
      <c r="C163" s="146" t="s">
        <v>1295</v>
      </c>
      <c r="D163" s="16" t="s">
        <v>48</v>
      </c>
      <c r="E163" s="16" t="s">
        <v>1296</v>
      </c>
      <c r="F163" s="17">
        <f t="shared" si="7"/>
        <v>282.3854330708661</v>
      </c>
      <c r="G163" s="17">
        <v>196.85393700787401</v>
      </c>
      <c r="H163" s="17">
        <v>85.531496062992105</v>
      </c>
      <c r="I163" s="151">
        <v>2500</v>
      </c>
      <c r="J163" s="16" t="s">
        <v>864</v>
      </c>
      <c r="K163" s="16" t="s">
        <v>1297</v>
      </c>
      <c r="L163" s="18">
        <v>4</v>
      </c>
      <c r="M163" s="19" t="s">
        <v>1298</v>
      </c>
    </row>
    <row r="164" spans="1:13" ht="15.75" x14ac:dyDescent="0.25">
      <c r="A164" s="18">
        <v>155</v>
      </c>
      <c r="B164" s="31">
        <v>6</v>
      </c>
      <c r="C164" s="146" t="s">
        <v>1299</v>
      </c>
      <c r="D164" s="16" t="s">
        <v>32</v>
      </c>
      <c r="E164" s="16" t="s">
        <v>1300</v>
      </c>
      <c r="F164" s="17">
        <f t="shared" si="7"/>
        <v>122.5052200294638</v>
      </c>
      <c r="G164" s="17">
        <v>78.822641961548698</v>
      </c>
      <c r="H164" s="17">
        <v>43.682578067915102</v>
      </c>
      <c r="I164" s="151">
        <v>1000</v>
      </c>
      <c r="J164" s="141" t="s">
        <v>848</v>
      </c>
      <c r="K164" s="16" t="s">
        <v>1301</v>
      </c>
      <c r="L164" s="18">
        <v>6</v>
      </c>
      <c r="M164" s="19" t="s">
        <v>1302</v>
      </c>
    </row>
    <row r="165" spans="1:13" ht="30" x14ac:dyDescent="0.25">
      <c r="A165" s="18">
        <v>156</v>
      </c>
      <c r="B165" s="31">
        <v>7</v>
      </c>
      <c r="C165" s="146" t="s">
        <v>1303</v>
      </c>
      <c r="D165" s="16" t="s">
        <v>32</v>
      </c>
      <c r="E165" s="16" t="s">
        <v>1300</v>
      </c>
      <c r="F165" s="17">
        <f t="shared" si="7"/>
        <v>139.12420792564549</v>
      </c>
      <c r="G165" s="17">
        <v>94.119492539069299</v>
      </c>
      <c r="H165" s="17">
        <v>45.004715386576201</v>
      </c>
      <c r="I165" s="151">
        <v>1200</v>
      </c>
      <c r="J165" s="141" t="s">
        <v>864</v>
      </c>
      <c r="K165" s="16" t="s">
        <v>1304</v>
      </c>
      <c r="L165" s="18">
        <v>4</v>
      </c>
      <c r="M165" s="19" t="s">
        <v>1305</v>
      </c>
    </row>
    <row r="166" spans="1:13" ht="60" x14ac:dyDescent="0.25">
      <c r="A166" s="18">
        <v>157</v>
      </c>
      <c r="B166" s="31">
        <v>8</v>
      </c>
      <c r="C166" s="146" t="s">
        <v>1306</v>
      </c>
      <c r="D166" s="16" t="s">
        <v>1089</v>
      </c>
      <c r="E166" s="16" t="s">
        <v>344</v>
      </c>
      <c r="F166" s="17">
        <f t="shared" si="7"/>
        <v>579.94713275726497</v>
      </c>
      <c r="G166" s="17">
        <v>392.77297721916699</v>
      </c>
      <c r="H166" s="17">
        <v>187.17415553809801</v>
      </c>
      <c r="I166" s="151">
        <v>5000</v>
      </c>
      <c r="J166" s="141" t="s">
        <v>848</v>
      </c>
      <c r="K166" s="16" t="s">
        <v>1307</v>
      </c>
      <c r="L166" s="18">
        <v>10</v>
      </c>
      <c r="M166" s="19" t="s">
        <v>1308</v>
      </c>
    </row>
    <row r="167" spans="1:13" ht="15.75" x14ac:dyDescent="0.25">
      <c r="A167" s="18">
        <v>158</v>
      </c>
      <c r="B167" s="31">
        <v>9</v>
      </c>
      <c r="C167" s="146" t="s">
        <v>1309</v>
      </c>
      <c r="D167" s="16" t="s">
        <v>32</v>
      </c>
      <c r="E167" s="16" t="s">
        <v>276</v>
      </c>
      <c r="F167" s="17">
        <f t="shared" si="7"/>
        <v>353.91270153362171</v>
      </c>
      <c r="G167" s="17">
        <f>I167/12.715</f>
        <v>235.94180102241447</v>
      </c>
      <c r="H167" s="17">
        <f>1500/12.715</f>
        <v>117.97090051120723</v>
      </c>
      <c r="I167" s="151">
        <v>3000</v>
      </c>
      <c r="J167" s="141" t="s">
        <v>848</v>
      </c>
      <c r="K167" s="16" t="s">
        <v>1310</v>
      </c>
      <c r="L167" s="18">
        <v>10</v>
      </c>
      <c r="M167" s="19" t="s">
        <v>1311</v>
      </c>
    </row>
    <row r="168" spans="1:13" ht="31.5" x14ac:dyDescent="0.25">
      <c r="A168" s="18">
        <v>159</v>
      </c>
      <c r="B168" s="31">
        <v>10</v>
      </c>
      <c r="C168" s="146" t="s">
        <v>1312</v>
      </c>
      <c r="D168" s="16" t="s">
        <v>20</v>
      </c>
      <c r="E168" s="16" t="s">
        <v>600</v>
      </c>
      <c r="F168" s="17">
        <f t="shared" si="7"/>
        <v>297.9372311104741</v>
      </c>
      <c r="G168" s="17">
        <f>I168/12.76779</f>
        <v>140.97976235511393</v>
      </c>
      <c r="H168" s="154">
        <f>2004/12.76779</f>
        <v>156.95746875536017</v>
      </c>
      <c r="I168" s="151">
        <v>1800</v>
      </c>
      <c r="J168" s="141" t="s">
        <v>848</v>
      </c>
      <c r="K168" s="16" t="s">
        <v>1313</v>
      </c>
      <c r="L168" s="18">
        <v>4</v>
      </c>
      <c r="M168" s="19" t="s">
        <v>1314</v>
      </c>
    </row>
    <row r="169" spans="1:13" ht="15.75" x14ac:dyDescent="0.25">
      <c r="A169" s="18">
        <v>160</v>
      </c>
      <c r="B169" s="31">
        <v>11</v>
      </c>
      <c r="C169" s="146" t="s">
        <v>1315</v>
      </c>
      <c r="D169" s="16" t="s">
        <v>20</v>
      </c>
      <c r="E169" s="16" t="s">
        <v>169</v>
      </c>
      <c r="F169" s="17">
        <f t="shared" si="7"/>
        <v>49.608931739298114</v>
      </c>
      <c r="G169" s="17">
        <f>I169/12.965</f>
        <v>26.995757809487081</v>
      </c>
      <c r="H169" s="154">
        <f>293.1798/12.965</f>
        <v>22.61317392981103</v>
      </c>
      <c r="I169" s="151">
        <v>350</v>
      </c>
      <c r="J169" s="141" t="s">
        <v>848</v>
      </c>
      <c r="K169" s="16" t="s">
        <v>1316</v>
      </c>
      <c r="L169" s="18">
        <v>3</v>
      </c>
      <c r="M169" s="19" t="s">
        <v>1314</v>
      </c>
    </row>
    <row r="170" spans="1:13" ht="75" x14ac:dyDescent="0.25">
      <c r="A170" s="18">
        <v>161</v>
      </c>
      <c r="B170" s="31">
        <v>12</v>
      </c>
      <c r="C170" s="146" t="s">
        <v>1317</v>
      </c>
      <c r="D170" s="16" t="s">
        <v>48</v>
      </c>
      <c r="E170" s="16" t="s">
        <v>1318</v>
      </c>
      <c r="F170" s="17">
        <f t="shared" si="7"/>
        <v>326.59464392047079</v>
      </c>
      <c r="G170" s="17">
        <f>I170/12.9311</f>
        <v>216.53223623666972</v>
      </c>
      <c r="H170" s="154">
        <f>1423.228/12.9311</f>
        <v>110.06240768380107</v>
      </c>
      <c r="I170" s="151">
        <v>2800</v>
      </c>
      <c r="J170" s="141" t="s">
        <v>848</v>
      </c>
      <c r="K170" s="16" t="s">
        <v>1319</v>
      </c>
      <c r="L170" s="18">
        <v>5</v>
      </c>
      <c r="M170" s="19" t="s">
        <v>1320</v>
      </c>
    </row>
    <row r="171" spans="1:13" ht="31.5" x14ac:dyDescent="0.25">
      <c r="A171" s="18">
        <v>162</v>
      </c>
      <c r="B171" s="31">
        <v>13</v>
      </c>
      <c r="C171" s="146" t="s">
        <v>1321</v>
      </c>
      <c r="D171" s="16" t="s">
        <v>14</v>
      </c>
      <c r="E171" s="16" t="s">
        <v>133</v>
      </c>
      <c r="F171" s="17">
        <f t="shared" si="7"/>
        <v>275.01081180672418</v>
      </c>
      <c r="G171" s="17">
        <f>I171/12.97193</f>
        <v>154.17906202084038</v>
      </c>
      <c r="H171" s="154">
        <f>1567.421/12.97193</f>
        <v>120.83174978588383</v>
      </c>
      <c r="I171" s="151">
        <v>2000</v>
      </c>
      <c r="J171" s="141" t="s">
        <v>864</v>
      </c>
      <c r="K171" s="16" t="s">
        <v>1322</v>
      </c>
      <c r="L171" s="18">
        <v>14</v>
      </c>
      <c r="M171" s="19" t="s">
        <v>1323</v>
      </c>
    </row>
    <row r="172" spans="1:13" ht="30" x14ac:dyDescent="0.25">
      <c r="A172" s="18">
        <v>163</v>
      </c>
      <c r="B172" s="31">
        <v>14</v>
      </c>
      <c r="C172" s="146" t="s">
        <v>1324</v>
      </c>
      <c r="D172" s="16" t="s">
        <v>225</v>
      </c>
      <c r="E172" s="16" t="s">
        <v>1325</v>
      </c>
      <c r="F172" s="17">
        <f t="shared" si="7"/>
        <v>223.22585736912271</v>
      </c>
      <c r="G172" s="17">
        <f>I172/12.92413</f>
        <v>154.74929453665354</v>
      </c>
      <c r="H172" s="154">
        <f>885/12.92413</f>
        <v>68.476562832469185</v>
      </c>
      <c r="I172" s="151">
        <v>2000</v>
      </c>
      <c r="J172" s="141" t="s">
        <v>864</v>
      </c>
      <c r="K172" s="16" t="s">
        <v>1326</v>
      </c>
      <c r="L172" s="18">
        <v>6</v>
      </c>
      <c r="M172" s="19" t="s">
        <v>1327</v>
      </c>
    </row>
    <row r="173" spans="1:13" ht="30" x14ac:dyDescent="0.25">
      <c r="A173" s="18">
        <v>164</v>
      </c>
      <c r="B173" s="31">
        <v>15</v>
      </c>
      <c r="C173" s="146" t="s">
        <v>1328</v>
      </c>
      <c r="D173" s="16" t="s">
        <v>856</v>
      </c>
      <c r="E173" s="16" t="s">
        <v>264</v>
      </c>
      <c r="F173" s="17">
        <f t="shared" si="7"/>
        <v>545</v>
      </c>
      <c r="G173" s="17">
        <v>380</v>
      </c>
      <c r="H173" s="154">
        <v>165</v>
      </c>
      <c r="I173" s="151">
        <f>G173*12.93194</f>
        <v>4914.1372000000001</v>
      </c>
      <c r="J173" s="141" t="s">
        <v>848</v>
      </c>
      <c r="K173" s="16" t="s">
        <v>1329</v>
      </c>
      <c r="L173" s="18">
        <v>5</v>
      </c>
      <c r="M173" s="19" t="s">
        <v>1330</v>
      </c>
    </row>
    <row r="174" spans="1:13" ht="31.5" x14ac:dyDescent="0.25">
      <c r="A174" s="18">
        <v>165</v>
      </c>
      <c r="B174" s="31">
        <v>16</v>
      </c>
      <c r="C174" s="146" t="s">
        <v>1331</v>
      </c>
      <c r="D174" s="16" t="s">
        <v>77</v>
      </c>
      <c r="E174" s="16" t="s">
        <v>1332</v>
      </c>
      <c r="F174" s="17">
        <f t="shared" si="7"/>
        <v>186.79510458782144</v>
      </c>
      <c r="G174" s="17">
        <f>I174/12.90351</f>
        <v>116.2474396501417</v>
      </c>
      <c r="H174" s="154">
        <f>910.3125/12.90351</f>
        <v>70.547664937679741</v>
      </c>
      <c r="I174" s="151">
        <v>1500</v>
      </c>
      <c r="J174" s="141" t="s">
        <v>864</v>
      </c>
      <c r="K174" s="16" t="s">
        <v>1333</v>
      </c>
      <c r="L174" s="18">
        <v>6</v>
      </c>
      <c r="M174" s="19" t="s">
        <v>1334</v>
      </c>
    </row>
    <row r="175" spans="1:13" ht="90" x14ac:dyDescent="0.25">
      <c r="A175" s="18">
        <v>166</v>
      </c>
      <c r="B175" s="31">
        <v>17</v>
      </c>
      <c r="C175" s="146" t="s">
        <v>1335</v>
      </c>
      <c r="D175" s="16" t="s">
        <v>253</v>
      </c>
      <c r="E175" s="16" t="s">
        <v>776</v>
      </c>
      <c r="F175" s="17">
        <f t="shared" si="7"/>
        <v>3445.2250887720288</v>
      </c>
      <c r="G175" s="17">
        <f>I175/12.94045</f>
        <v>1313.7101105448419</v>
      </c>
      <c r="H175" s="154">
        <f>27582.763/12.94045</f>
        <v>2131.5149782271869</v>
      </c>
      <c r="I175" s="151">
        <v>17000</v>
      </c>
      <c r="J175" s="141" t="s">
        <v>1336</v>
      </c>
      <c r="K175" s="16" t="s">
        <v>1337</v>
      </c>
      <c r="L175" s="18">
        <v>156</v>
      </c>
      <c r="M175" s="19" t="s">
        <v>1338</v>
      </c>
    </row>
    <row r="176" spans="1:13" ht="30" x14ac:dyDescent="0.25">
      <c r="A176" s="18">
        <v>167</v>
      </c>
      <c r="B176" s="31">
        <v>18</v>
      </c>
      <c r="C176" s="146" t="s">
        <v>1339</v>
      </c>
      <c r="D176" s="16" t="s">
        <v>77</v>
      </c>
      <c r="E176" s="16" t="s">
        <v>137</v>
      </c>
      <c r="F176" s="17">
        <f t="shared" si="7"/>
        <v>298.2894721590053</v>
      </c>
      <c r="G176" s="17">
        <f>I176/12.94045</f>
        <v>208.64807638065136</v>
      </c>
      <c r="H176" s="154">
        <f>1160/12.94045</f>
        <v>89.641395778353925</v>
      </c>
      <c r="I176" s="151">
        <v>2700</v>
      </c>
      <c r="J176" s="141" t="s">
        <v>848</v>
      </c>
      <c r="K176" s="16" t="s">
        <v>1340</v>
      </c>
      <c r="L176" s="18">
        <v>5</v>
      </c>
      <c r="M176" s="19" t="s">
        <v>1341</v>
      </c>
    </row>
    <row r="177" spans="1:13" ht="60" x14ac:dyDescent="0.25">
      <c r="A177" s="18">
        <v>168</v>
      </c>
      <c r="B177" s="31">
        <v>19</v>
      </c>
      <c r="C177" s="146" t="s">
        <v>1342</v>
      </c>
      <c r="D177" s="16" t="s">
        <v>32</v>
      </c>
      <c r="E177" s="16" t="s">
        <v>1300</v>
      </c>
      <c r="F177" s="17">
        <f t="shared" si="7"/>
        <v>741.46389688708746</v>
      </c>
      <c r="G177" s="17">
        <f>I177/12.94736</f>
        <v>494.30926459139164</v>
      </c>
      <c r="H177" s="154">
        <f>3200/12.94736</f>
        <v>247.15463229569582</v>
      </c>
      <c r="I177" s="151">
        <v>6400</v>
      </c>
      <c r="J177" s="141" t="s">
        <v>864</v>
      </c>
      <c r="K177" s="16" t="s">
        <v>1343</v>
      </c>
      <c r="L177" s="18">
        <v>12</v>
      </c>
      <c r="M177" s="19" t="s">
        <v>1344</v>
      </c>
    </row>
    <row r="178" spans="1:13" ht="33.75" customHeight="1" x14ac:dyDescent="0.25">
      <c r="A178" s="18">
        <v>169</v>
      </c>
      <c r="B178" s="31">
        <v>20</v>
      </c>
      <c r="C178" s="146" t="s">
        <v>1345</v>
      </c>
      <c r="D178" s="16" t="s">
        <v>77</v>
      </c>
      <c r="E178" s="16" t="s">
        <v>1346</v>
      </c>
      <c r="F178" s="17">
        <f t="shared" si="7"/>
        <v>121.4492480942107</v>
      </c>
      <c r="G178" s="17">
        <f>I178/12.96838</f>
        <v>84.821697081670962</v>
      </c>
      <c r="H178" s="17">
        <f>475/12.96838</f>
        <v>36.627551012539733</v>
      </c>
      <c r="I178" s="151">
        <v>1100</v>
      </c>
      <c r="J178" s="141" t="s">
        <v>848</v>
      </c>
      <c r="K178" s="138" t="s">
        <v>1347</v>
      </c>
      <c r="L178" s="18">
        <v>8</v>
      </c>
      <c r="M178" s="19" t="s">
        <v>1348</v>
      </c>
    </row>
    <row r="179" spans="1:13" ht="30" x14ac:dyDescent="0.25">
      <c r="A179" s="18">
        <v>170</v>
      </c>
      <c r="B179" s="31">
        <v>21</v>
      </c>
      <c r="C179" s="146" t="s">
        <v>1349</v>
      </c>
      <c r="D179" s="16" t="s">
        <v>324</v>
      </c>
      <c r="E179" s="16" t="s">
        <v>511</v>
      </c>
      <c r="F179" s="17">
        <f t="shared" si="7"/>
        <v>110.16669067735566</v>
      </c>
      <c r="G179" s="17">
        <f>I179/12.98033</f>
        <v>77.039643830318639</v>
      </c>
      <c r="H179" s="17">
        <f>430/12.98033</f>
        <v>33.127046847037015</v>
      </c>
      <c r="I179" s="151">
        <v>1000</v>
      </c>
      <c r="J179" s="141" t="s">
        <v>864</v>
      </c>
      <c r="K179" s="16" t="s">
        <v>1350</v>
      </c>
      <c r="L179" s="18">
        <v>5</v>
      </c>
      <c r="M179" s="19" t="s">
        <v>1351</v>
      </c>
    </row>
    <row r="180" spans="1:13" ht="30" x14ac:dyDescent="0.25">
      <c r="A180" s="18">
        <v>171</v>
      </c>
      <c r="B180" s="31">
        <v>22</v>
      </c>
      <c r="C180" s="146" t="s">
        <v>1352</v>
      </c>
      <c r="D180" s="16" t="s">
        <v>14</v>
      </c>
      <c r="E180" s="16" t="s">
        <v>1353</v>
      </c>
      <c r="F180" s="17">
        <f t="shared" si="7"/>
        <v>139.05824020512662</v>
      </c>
      <c r="G180" s="17">
        <f>I180/12.9481</f>
        <v>93.836161290073449</v>
      </c>
      <c r="H180" s="17">
        <f>585.54/12.9481</f>
        <v>45.222078915053167</v>
      </c>
      <c r="I180" s="151">
        <v>1215</v>
      </c>
      <c r="J180" s="141" t="s">
        <v>848</v>
      </c>
      <c r="K180" s="138" t="s">
        <v>1354</v>
      </c>
      <c r="L180" s="18">
        <v>5</v>
      </c>
      <c r="M180" s="19" t="s">
        <v>1355</v>
      </c>
    </row>
    <row r="181" spans="1:13" ht="15.75" x14ac:dyDescent="0.25">
      <c r="A181" s="18">
        <v>172</v>
      </c>
      <c r="B181" s="31">
        <v>23</v>
      </c>
      <c r="C181" s="146" t="s">
        <v>1356</v>
      </c>
      <c r="D181" s="16" t="s">
        <v>230</v>
      </c>
      <c r="E181" s="16" t="s">
        <v>1258</v>
      </c>
      <c r="F181" s="17">
        <f t="shared" si="7"/>
        <v>174.1106287995533</v>
      </c>
      <c r="G181" s="17">
        <f>I181/12.96534</f>
        <v>115.69307091059703</v>
      </c>
      <c r="H181" s="17">
        <f>757.4035/12.96534</f>
        <v>58.417557888956253</v>
      </c>
      <c r="I181" s="151">
        <v>1500</v>
      </c>
      <c r="J181" s="141" t="s">
        <v>848</v>
      </c>
      <c r="K181" s="16" t="s">
        <v>1357</v>
      </c>
      <c r="L181" s="18">
        <v>6</v>
      </c>
      <c r="M181" s="19" t="s">
        <v>1358</v>
      </c>
    </row>
    <row r="182" spans="1:13" ht="30" x14ac:dyDescent="0.25">
      <c r="A182" s="18">
        <v>173</v>
      </c>
      <c r="B182" s="31">
        <v>24</v>
      </c>
      <c r="C182" s="146" t="s">
        <v>1359</v>
      </c>
      <c r="D182" s="16" t="s">
        <v>253</v>
      </c>
      <c r="E182" s="16" t="s">
        <v>1360</v>
      </c>
      <c r="F182" s="17">
        <f t="shared" si="7"/>
        <v>227.26992579444322</v>
      </c>
      <c r="G182" s="17">
        <f>I182/12.98016</f>
        <v>154.08130562335134</v>
      </c>
      <c r="H182" s="17">
        <f>950/12.98016</f>
        <v>73.188620171091884</v>
      </c>
      <c r="I182" s="151">
        <v>2000</v>
      </c>
      <c r="J182" s="141" t="s">
        <v>864</v>
      </c>
      <c r="K182" s="138" t="s">
        <v>1361</v>
      </c>
      <c r="L182" s="18">
        <v>11</v>
      </c>
      <c r="M182" s="19" t="s">
        <v>1362</v>
      </c>
    </row>
    <row r="183" spans="1:13" ht="30" x14ac:dyDescent="0.25">
      <c r="A183" s="14">
        <v>174</v>
      </c>
      <c r="B183" s="31">
        <v>25</v>
      </c>
      <c r="C183" s="146" t="s">
        <v>1363</v>
      </c>
      <c r="D183" s="16" t="s">
        <v>20</v>
      </c>
      <c r="E183" s="16" t="s">
        <v>63</v>
      </c>
      <c r="F183" s="17">
        <f t="shared" si="7"/>
        <v>79.622525530962804</v>
      </c>
      <c r="G183" s="148">
        <f>I183/12.55926</f>
        <v>55.735767871673964</v>
      </c>
      <c r="H183" s="148">
        <f>300/12.55926</f>
        <v>23.886757659288843</v>
      </c>
      <c r="I183" s="151">
        <v>700</v>
      </c>
      <c r="J183" s="141" t="s">
        <v>848</v>
      </c>
      <c r="K183" s="16" t="s">
        <v>1364</v>
      </c>
      <c r="L183" s="18">
        <v>4</v>
      </c>
      <c r="M183" s="19" t="s">
        <v>1365</v>
      </c>
    </row>
    <row r="184" spans="1:13" ht="60" x14ac:dyDescent="0.25">
      <c r="A184" s="14">
        <v>175</v>
      </c>
      <c r="B184" s="31">
        <v>26</v>
      </c>
      <c r="C184" s="146" t="s">
        <v>1366</v>
      </c>
      <c r="D184" s="16" t="s">
        <v>32</v>
      </c>
      <c r="E184" s="16" t="s">
        <v>1367</v>
      </c>
      <c r="F184" s="17">
        <f t="shared" si="7"/>
        <v>358.30136488933266</v>
      </c>
      <c r="G184" s="148">
        <f>I184/12.55926</f>
        <v>238.86757659288844</v>
      </c>
      <c r="H184" s="148">
        <f>1500/12.55926</f>
        <v>119.43378829644422</v>
      </c>
      <c r="I184" s="151">
        <v>3000</v>
      </c>
      <c r="J184" s="141" t="s">
        <v>864</v>
      </c>
      <c r="K184" s="138" t="s">
        <v>1368</v>
      </c>
      <c r="L184" s="18">
        <v>10</v>
      </c>
      <c r="M184" s="19" t="s">
        <v>1369</v>
      </c>
    </row>
    <row r="185" spans="1:13" x14ac:dyDescent="0.25">
      <c r="A185" s="14"/>
      <c r="B185" s="31"/>
      <c r="C185" s="37" t="s">
        <v>362</v>
      </c>
      <c r="D185" s="16"/>
      <c r="E185" s="16"/>
      <c r="F185" s="33">
        <f>SUM(F159:F184)</f>
        <v>9735.3131724239593</v>
      </c>
      <c r="G185" s="33">
        <f>SUM(G159:G184)</f>
        <v>5460.1412280502391</v>
      </c>
      <c r="H185" s="33">
        <f>SUM(H159:H184)</f>
        <v>4275.171944373722</v>
      </c>
      <c r="I185" s="33">
        <f>SUM(I159:I184)</f>
        <v>70179.137199999997</v>
      </c>
      <c r="J185" s="16"/>
      <c r="K185" s="16"/>
      <c r="L185" s="144">
        <f>SUM(L159:L184)</f>
        <v>327</v>
      </c>
      <c r="M185" s="19"/>
    </row>
    <row r="186" spans="1:13" ht="26.25" customHeight="1" x14ac:dyDescent="0.25">
      <c r="A186" s="155"/>
      <c r="B186" s="31"/>
      <c r="C186" s="37" t="s">
        <v>363</v>
      </c>
      <c r="D186" s="16"/>
      <c r="E186" s="16"/>
      <c r="F186" s="17"/>
      <c r="G186" s="152">
        <f>G158-G185</f>
        <v>19539.858771949759</v>
      </c>
      <c r="H186" s="156"/>
      <c r="I186" s="64"/>
      <c r="J186" s="16"/>
      <c r="K186" s="16"/>
      <c r="L186" s="18"/>
      <c r="M186" s="19"/>
    </row>
    <row r="187" spans="1:13" ht="21.75" customHeight="1" x14ac:dyDescent="0.25">
      <c r="A187" s="155"/>
      <c r="B187" s="14"/>
      <c r="C187" s="37"/>
      <c r="D187" s="16"/>
      <c r="E187" s="16"/>
      <c r="F187" s="17"/>
      <c r="G187" s="157"/>
      <c r="H187" s="17"/>
      <c r="I187" s="64"/>
      <c r="J187" s="16"/>
      <c r="K187" s="16"/>
      <c r="L187" s="18"/>
      <c r="M187" s="19"/>
    </row>
    <row r="188" spans="1:13" ht="21" customHeight="1" x14ac:dyDescent="0.25">
      <c r="A188" s="155"/>
      <c r="B188" s="14"/>
      <c r="C188" s="37" t="s">
        <v>1370</v>
      </c>
      <c r="D188" s="16"/>
      <c r="E188" s="16"/>
      <c r="F188" s="17"/>
      <c r="G188" s="17"/>
      <c r="H188" s="17"/>
      <c r="I188" s="64"/>
      <c r="J188" s="16"/>
      <c r="K188" s="16"/>
      <c r="L188" s="18"/>
      <c r="M188" s="19"/>
    </row>
    <row r="189" spans="1:13" ht="29.25" customHeight="1" x14ac:dyDescent="0.25">
      <c r="A189" s="155"/>
      <c r="B189" s="14"/>
      <c r="C189" s="37" t="s">
        <v>835</v>
      </c>
      <c r="D189" s="16"/>
      <c r="E189" s="16"/>
      <c r="F189" s="17"/>
      <c r="G189" s="33">
        <f>G185+G156+G74</f>
        <v>46987.08447293513</v>
      </c>
      <c r="H189" s="17"/>
      <c r="I189" s="158">
        <f>I185+I156+I74</f>
        <v>600897.86219999997</v>
      </c>
      <c r="J189" s="16"/>
      <c r="K189" s="16"/>
      <c r="L189" s="144">
        <f>L185+L156+L74</f>
        <v>2046</v>
      </c>
      <c r="M189" s="19"/>
    </row>
    <row r="190" spans="1:13" ht="33" customHeight="1" x14ac:dyDescent="0.25">
      <c r="A190" s="155"/>
      <c r="B190" s="14"/>
      <c r="C190" s="37" t="s">
        <v>1371</v>
      </c>
      <c r="D190" s="16"/>
      <c r="E190" s="16"/>
      <c r="F190" s="17"/>
      <c r="G190" s="33">
        <f>G186+G157+G75+G187</f>
        <v>113012.91552706486</v>
      </c>
      <c r="H190" s="17"/>
      <c r="I190" s="64">
        <f>I186+I157+I75</f>
        <v>0</v>
      </c>
      <c r="J190" s="16"/>
      <c r="K190" s="16"/>
      <c r="L190" s="18"/>
      <c r="M190" s="19"/>
    </row>
    <row r="191" spans="1:13" x14ac:dyDescent="0.25">
      <c r="F191" s="159"/>
      <c r="G191" s="159"/>
      <c r="H191" s="159"/>
      <c r="I191" s="159"/>
    </row>
    <row r="192" spans="1:13" x14ac:dyDescent="0.25">
      <c r="F192" s="161"/>
      <c r="G192" s="159"/>
      <c r="H192" s="159"/>
      <c r="I192" s="159"/>
      <c r="J192" s="159"/>
      <c r="K192" s="162"/>
      <c r="L192" s="160"/>
    </row>
    <row r="193" spans="1:13" x14ac:dyDescent="0.25">
      <c r="E193" s="123"/>
      <c r="F193" s="161"/>
      <c r="G193" s="159"/>
      <c r="H193" s="159"/>
      <c r="I193" s="159"/>
      <c r="J193" s="159"/>
      <c r="K193" s="162"/>
    </row>
    <row r="194" spans="1:13" x14ac:dyDescent="0.25">
      <c r="G194" s="122"/>
      <c r="H194" s="159"/>
      <c r="I194" s="159"/>
      <c r="J194" s="159"/>
      <c r="K194" s="162"/>
    </row>
    <row r="195" spans="1:13" x14ac:dyDescent="0.25">
      <c r="F195" s="159"/>
      <c r="G195" s="159"/>
      <c r="H195" s="159"/>
      <c r="I195" s="159"/>
      <c r="K195" s="162"/>
    </row>
    <row r="196" spans="1:13" s="121" customFormat="1" x14ac:dyDescent="0.25">
      <c r="A196" s="119"/>
      <c r="B196" s="119"/>
      <c r="C196" s="120"/>
      <c r="F196" s="159"/>
      <c r="G196" s="163"/>
      <c r="H196" s="164"/>
      <c r="I196" s="159"/>
      <c r="L196" s="119"/>
      <c r="M196" s="124"/>
    </row>
    <row r="197" spans="1:13" s="121" customFormat="1" x14ac:dyDescent="0.25">
      <c r="A197" s="119"/>
      <c r="B197" s="119"/>
      <c r="C197" s="120"/>
      <c r="F197" s="159"/>
      <c r="G197" s="163"/>
      <c r="H197" s="164"/>
      <c r="I197" s="159"/>
      <c r="L197" s="119"/>
      <c r="M197" s="124"/>
    </row>
    <row r="198" spans="1:13" s="121" customFormat="1" x14ac:dyDescent="0.25">
      <c r="A198" s="119"/>
      <c r="B198" s="119"/>
      <c r="C198" s="120"/>
      <c r="F198" s="159"/>
      <c r="G198" s="163"/>
      <c r="H198" s="164"/>
      <c r="I198" s="159"/>
      <c r="L198" s="119"/>
      <c r="M198" s="124"/>
    </row>
    <row r="199" spans="1:13" s="121" customFormat="1" x14ac:dyDescent="0.25">
      <c r="A199" s="119"/>
      <c r="B199" s="119"/>
      <c r="C199" s="120"/>
      <c r="F199" s="159"/>
      <c r="G199" s="163"/>
      <c r="H199" s="164"/>
      <c r="I199" s="159"/>
      <c r="L199" s="119"/>
      <c r="M199" s="124"/>
    </row>
    <row r="200" spans="1:13" s="121" customFormat="1" x14ac:dyDescent="0.25">
      <c r="A200" s="119"/>
      <c r="B200" s="119"/>
      <c r="C200" s="120"/>
      <c r="F200" s="159"/>
      <c r="G200" s="165"/>
      <c r="H200" s="166"/>
      <c r="I200" s="167"/>
      <c r="J200" s="164"/>
      <c r="L200" s="119"/>
      <c r="M200" s="124"/>
    </row>
    <row r="201" spans="1:13" s="121" customFormat="1" x14ac:dyDescent="0.25">
      <c r="A201" s="119"/>
      <c r="B201" s="119"/>
      <c r="C201" s="120"/>
      <c r="F201" s="159"/>
      <c r="G201" s="168"/>
      <c r="H201" s="164"/>
      <c r="I201" s="159"/>
      <c r="L201" s="119"/>
      <c r="M201" s="124"/>
    </row>
    <row r="202" spans="1:13" s="121" customFormat="1" x14ac:dyDescent="0.25">
      <c r="A202" s="119"/>
      <c r="B202" s="119"/>
      <c r="C202" s="120"/>
      <c r="F202" s="159"/>
      <c r="G202" s="165"/>
      <c r="H202" s="166"/>
      <c r="I202" s="159"/>
      <c r="J202" s="123"/>
      <c r="L202" s="119"/>
      <c r="M202" s="124"/>
    </row>
    <row r="203" spans="1:13" s="121" customFormat="1" x14ac:dyDescent="0.25">
      <c r="A203" s="119"/>
      <c r="B203" s="119"/>
      <c r="C203" s="120"/>
      <c r="G203" s="169"/>
      <c r="H203" s="170"/>
      <c r="I203" s="122"/>
      <c r="J203" s="123"/>
      <c r="L203" s="119"/>
      <c r="M203" s="124"/>
    </row>
    <row r="204" spans="1:13" s="121" customFormat="1" x14ac:dyDescent="0.25">
      <c r="A204" s="119"/>
      <c r="B204" s="119"/>
      <c r="C204" s="120"/>
      <c r="F204" s="171"/>
      <c r="G204" s="172"/>
      <c r="H204" s="166"/>
      <c r="I204" s="122"/>
      <c r="J204" s="167"/>
      <c r="L204" s="119"/>
      <c r="M204" s="124"/>
    </row>
    <row r="205" spans="1:13" x14ac:dyDescent="0.25">
      <c r="F205" s="171"/>
      <c r="G205" s="172"/>
      <c r="H205" s="173"/>
      <c r="I205" s="174"/>
      <c r="J205" s="167"/>
    </row>
    <row r="206" spans="1:13" x14ac:dyDescent="0.25">
      <c r="F206" s="171"/>
      <c r="G206" s="172"/>
      <c r="H206" s="173"/>
    </row>
    <row r="207" spans="1:13" x14ac:dyDescent="0.25">
      <c r="F207" s="171"/>
      <c r="G207" s="172"/>
      <c r="H207" s="173"/>
      <c r="I207" s="174"/>
      <c r="J207" s="175"/>
    </row>
    <row r="208" spans="1:13" x14ac:dyDescent="0.25">
      <c r="F208" s="171"/>
      <c r="G208" s="176"/>
      <c r="H208" s="177"/>
      <c r="I208" s="170"/>
      <c r="J208" s="170"/>
      <c r="K208" s="167"/>
    </row>
    <row r="209" spans="6:11" x14ac:dyDescent="0.25">
      <c r="F209" s="171"/>
      <c r="G209" s="176"/>
      <c r="H209" s="177"/>
      <c r="I209" s="170"/>
      <c r="J209" s="178"/>
      <c r="K209" s="167"/>
    </row>
    <row r="210" spans="6:11" x14ac:dyDescent="0.25">
      <c r="F210" s="171"/>
      <c r="G210" s="176"/>
      <c r="H210" s="177"/>
      <c r="I210" s="179"/>
      <c r="J210" s="170"/>
      <c r="K210" s="167"/>
    </row>
    <row r="211" spans="6:11" x14ac:dyDescent="0.25">
      <c r="F211" s="171"/>
      <c r="G211" s="176"/>
      <c r="H211" s="177"/>
      <c r="I211" s="174"/>
      <c r="J211" s="170"/>
      <c r="K211" s="167"/>
    </row>
    <row r="212" spans="6:11" x14ac:dyDescent="0.25">
      <c r="F212" s="180"/>
      <c r="G212" s="122"/>
      <c r="H212" s="174"/>
      <c r="I212" s="176"/>
      <c r="J212" s="170"/>
      <c r="K212" s="167"/>
    </row>
    <row r="213" spans="6:11" x14ac:dyDescent="0.25">
      <c r="H213" s="174"/>
      <c r="I213" s="175"/>
      <c r="J213" s="170"/>
      <c r="K213" s="167"/>
    </row>
    <row r="214" spans="6:11" x14ac:dyDescent="0.25">
      <c r="H214" s="174"/>
      <c r="K214" s="167"/>
    </row>
    <row r="215" spans="6:11" x14ac:dyDescent="0.25">
      <c r="K215" s="167"/>
    </row>
    <row r="216" spans="6:11" x14ac:dyDescent="0.25">
      <c r="H216" s="174"/>
    </row>
    <row r="220" spans="6:11" x14ac:dyDescent="0.25">
      <c r="G220" s="181"/>
    </row>
    <row r="222" spans="6:11" x14ac:dyDescent="0.25">
      <c r="G222" s="182"/>
    </row>
  </sheetData>
  <mergeCells count="1">
    <mergeCell ref="A1:M1"/>
  </mergeCells>
  <pageMargins left="0.7" right="0.7" top="0.75" bottom="0.75" header="0.3" footer="0.3"/>
  <pageSetup paperSize="9" scale="24" orientation="portrait" horizontalDpi="300" verticalDpi="300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ФАР</vt:lpstr>
      <vt:lpstr>МАР и МБРР</vt:lpstr>
      <vt:lpstr>'МАР и МБРР'!Область_печати</vt:lpstr>
      <vt:lpstr>ФАР!Область_печати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dcterms:created xsi:type="dcterms:W3CDTF">2025-06-24T07:12:07Z</dcterms:created>
  <dcterms:modified xsi:type="dcterms:W3CDTF">2025-07-02T13:47:48Z</dcterms:modified>
</cp:coreProperties>
</file>