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РХИВ\01.Канцелярия\C\Рабочий стол\Бошқарма маълумотлари\ГРП УПРАВЛЕНИЕ\Лойиҳалар маълумотлари\Ветеринария\Суб лойиҳалар маълумотлари\"/>
    </mc:Choice>
  </mc:AlternateContent>
  <xr:revisionPtr revIDLastSave="0" documentId="8_{025DD112-DCAE-4BC0-90D5-9338A2247A26}" xr6:coauthVersionLast="44" xr6:coauthVersionMax="44" xr10:uidLastSave="{00000000-0000-0000-0000-000000000000}"/>
  <bookViews>
    <workbookView xWindow="-120" yWindow="-120" windowWidth="29040" windowHeight="15840" xr2:uid="{45D86F15-3DFA-4265-86F2-E9B067F5D7F6}"/>
  </bookViews>
  <sheets>
    <sheet name="Лист1" sheetId="1" r:id="rId1"/>
  </sheets>
  <definedNames>
    <definedName name="_xlnm._FilterDatabase" localSheetId="0" hidden="1">Лист1!$A$5:$K$40</definedName>
    <definedName name="_xlnm.Print_Area" localSheetId="0">Лист1!$A$1:$K$42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2" i="1"/>
  <c r="H41" i="1" s="1"/>
  <c r="G42" i="1"/>
  <c r="F42" i="1" s="1"/>
  <c r="F41" i="1" s="1"/>
  <c r="A15" i="1"/>
  <c r="A4" i="1" s="1"/>
  <c r="I8" i="1"/>
  <c r="I10" i="1"/>
  <c r="I12" i="1"/>
  <c r="I15" i="1"/>
  <c r="I18" i="1"/>
  <c r="I21" i="1"/>
  <c r="I23" i="1"/>
  <c r="I28" i="1"/>
  <c r="I31" i="1"/>
  <c r="I37" i="1"/>
  <c r="A37" i="1"/>
  <c r="I5" i="1"/>
  <c r="I4" i="1" s="1"/>
  <c r="G41" i="1" l="1"/>
  <c r="H9" i="1"/>
  <c r="H8" i="1" s="1"/>
  <c r="G9" i="1"/>
  <c r="G8" i="1" s="1"/>
  <c r="F30" i="1"/>
  <c r="H7" i="1"/>
  <c r="G7" i="1"/>
  <c r="F7" i="1" s="1"/>
  <c r="H36" i="1"/>
  <c r="G36" i="1"/>
  <c r="H17" i="1"/>
  <c r="G17" i="1"/>
  <c r="H27" i="1"/>
  <c r="G27" i="1"/>
  <c r="H35" i="1"/>
  <c r="G35" i="1"/>
  <c r="H29" i="1"/>
  <c r="H28" i="1" s="1"/>
  <c r="G29" i="1"/>
  <c r="G28" i="1" s="1"/>
  <c r="H14" i="1"/>
  <c r="G14" i="1"/>
  <c r="H11" i="1"/>
  <c r="H10" i="1" s="1"/>
  <c r="G11" i="1"/>
  <c r="G10" i="1" s="1"/>
  <c r="H13" i="1"/>
  <c r="H12" i="1" s="1"/>
  <c r="G13" i="1"/>
  <c r="G12" i="1" s="1"/>
  <c r="H34" i="1"/>
  <c r="G34" i="1"/>
  <c r="H40" i="1"/>
  <c r="G40" i="1"/>
  <c r="H16" i="1"/>
  <c r="G16" i="1"/>
  <c r="H22" i="1"/>
  <c r="H21" i="1" s="1"/>
  <c r="G22" i="1"/>
  <c r="G21" i="1" s="1"/>
  <c r="H6" i="1"/>
  <c r="G6" i="1"/>
  <c r="H20" i="1"/>
  <c r="G20" i="1"/>
  <c r="H33" i="1"/>
  <c r="G33" i="1"/>
  <c r="H26" i="1"/>
  <c r="G26" i="1"/>
  <c r="H32" i="1"/>
  <c r="G32" i="1"/>
  <c r="H39" i="1"/>
  <c r="G39" i="1"/>
  <c r="H25" i="1"/>
  <c r="G25" i="1"/>
  <c r="H24" i="1"/>
  <c r="G24" i="1"/>
  <c r="H38" i="1"/>
  <c r="G38" i="1"/>
  <c r="H19" i="1"/>
  <c r="G19" i="1"/>
  <c r="F39" i="1" l="1"/>
  <c r="H23" i="1"/>
  <c r="G18" i="1"/>
  <c r="H18" i="1"/>
  <c r="G37" i="1"/>
  <c r="G15" i="1"/>
  <c r="H15" i="1"/>
  <c r="G23" i="1"/>
  <c r="H37" i="1"/>
  <c r="G31" i="1"/>
  <c r="H31" i="1"/>
  <c r="G5" i="1"/>
  <c r="G4" i="1" s="1"/>
  <c r="H5" i="1"/>
  <c r="F29" i="1"/>
  <c r="F28" i="1" s="1"/>
  <c r="F32" i="1"/>
  <c r="F11" i="1"/>
  <c r="F10" i="1" s="1"/>
  <c r="F38" i="1"/>
  <c r="F26" i="1"/>
  <c r="F20" i="1"/>
  <c r="F13" i="1"/>
  <c r="F25" i="1"/>
  <c r="F27" i="1"/>
  <c r="F35" i="1"/>
  <c r="F36" i="1"/>
  <c r="F33" i="1"/>
  <c r="F16" i="1"/>
  <c r="F6" i="1"/>
  <c r="F19" i="1"/>
  <c r="F34" i="1"/>
  <c r="F22" i="1"/>
  <c r="F21" i="1" s="1"/>
  <c r="F17" i="1"/>
  <c r="F24" i="1"/>
  <c r="F40" i="1"/>
  <c r="F14" i="1"/>
  <c r="F9" i="1"/>
  <c r="F8" i="1" s="1"/>
  <c r="F37" i="1"/>
  <c r="H4" i="1" l="1"/>
  <c r="F12" i="1"/>
  <c r="F18" i="1"/>
  <c r="F15" i="1"/>
  <c r="F23" i="1"/>
  <c r="F31" i="1"/>
  <c r="F5" i="1"/>
  <c r="F4" i="1" s="1"/>
</calcChain>
</file>

<file path=xl/sharedStrings.xml><?xml version="1.0" encoding="utf-8"?>
<sst xmlns="http://schemas.openxmlformats.org/spreadsheetml/2006/main" count="155" uniqueCount="111">
  <si>
    <t>№</t>
  </si>
  <si>
    <t>Инициатор проекта</t>
  </si>
  <si>
    <t>Район</t>
  </si>
  <si>
    <t>Коммерческий банк</t>
  </si>
  <si>
    <t>Дата одобрения заявки</t>
  </si>
  <si>
    <t>Общая сумма проекта 
(тыс. долларов США)</t>
  </si>
  <si>
    <t>Сумма кредита 
(тыс. долларов США)</t>
  </si>
  <si>
    <t>Вклад бенефициара
(тыс. долларов США)</t>
  </si>
  <si>
    <t>Сумма кредита 
(млн.сум)</t>
  </si>
  <si>
    <t>Направление проекта (цель проекта)</t>
  </si>
  <si>
    <t>Направление проекта</t>
  </si>
  <si>
    <t>Андижанская область</t>
  </si>
  <si>
    <t>АТБ Микрокредитбанк</t>
  </si>
  <si>
    <t>Птицеводство</t>
  </si>
  <si>
    <t>Сурхандарьинская область</t>
  </si>
  <si>
    <t>Животноводства</t>
  </si>
  <si>
    <t>Джизакская область</t>
  </si>
  <si>
    <t>Ш.Рашидовский район</t>
  </si>
  <si>
    <t>Рыбоводство</t>
  </si>
  <si>
    <t>Республика Каракалпакстан</t>
  </si>
  <si>
    <t>Наманганская область</t>
  </si>
  <si>
    <t>Самаркандская область</t>
  </si>
  <si>
    <t>Навоийская область</t>
  </si>
  <si>
    <t>Хорезмская область</t>
  </si>
  <si>
    <t>Кашкадарьинская область</t>
  </si>
  <si>
    <t>Бухарская область</t>
  </si>
  <si>
    <t>город Бухара</t>
  </si>
  <si>
    <t>Жалкудукский район</t>
  </si>
  <si>
    <t>Жаркургансикий район</t>
  </si>
  <si>
    <t>ФХ "KOSONSOY ISTIQLOL PARRANDA"</t>
  </si>
  <si>
    <t>Наманганский район</t>
  </si>
  <si>
    <t xml:space="preserve">Приобритение цыплята 50 000 шт. (Lohmann Breeders 120 днев.)  </t>
  </si>
  <si>
    <t>Асакинский район</t>
  </si>
  <si>
    <t>ФХ "GOOD FISHERMAN"</t>
  </si>
  <si>
    <t>Приобретение 224000 кг племенных мальков сазана</t>
  </si>
  <si>
    <t>OOO "DODIQ-INVEST"</t>
  </si>
  <si>
    <t>Чирақчинский район</t>
  </si>
  <si>
    <t>Приобритение КРС 87 шт (Симментал нетил)</t>
  </si>
  <si>
    <t>OOO "NURALI OTA FAYZ CHORVASI"</t>
  </si>
  <si>
    <t>Нишонский район</t>
  </si>
  <si>
    <t>Приобритение КРС 50 шт (нетил)</t>
  </si>
  <si>
    <t>OOO "BARAKA CHORVASI 707"</t>
  </si>
  <si>
    <t>Приобритение  МРС 780,</t>
  </si>
  <si>
    <t>OOO "EL-NASR"</t>
  </si>
  <si>
    <t>Гиживонский район</t>
  </si>
  <si>
    <t>Приобритение КРС 63 шт быки (Симментал) и КРС 125 шт (Симментал нетил)</t>
  </si>
  <si>
    <t>СП "ROYAL CHICKEN BIZNES"</t>
  </si>
  <si>
    <t>город Карши</t>
  </si>
  <si>
    <t>Приобритение цеплята 16800 голов</t>
  </si>
  <si>
    <t>OOO "BEST AGRO TRANS LYUKS"</t>
  </si>
  <si>
    <t>Шофирконский район</t>
  </si>
  <si>
    <t>Приобритение  51 голова лошадей черной лошадиной породы и 180 голов овец мелкой гисарский породы</t>
  </si>
  <si>
    <t>Сумма одобренных суб-проектов</t>
  </si>
  <si>
    <t>АТ "Халқ банки"</t>
  </si>
  <si>
    <t>СФ "MEXOVAYA MODA"</t>
  </si>
  <si>
    <t>Каракулаводства</t>
  </si>
  <si>
    <t>АТБ “Туронбанк”</t>
  </si>
  <si>
    <t>Сырдарьинская область</t>
  </si>
  <si>
    <t>Когонский район</t>
  </si>
  <si>
    <t>Шахрисабзский район</t>
  </si>
  <si>
    <t>Переработка кожи</t>
  </si>
  <si>
    <t>Кизилтепинский район</t>
  </si>
  <si>
    <t>ЧФ "SHAFIJONOV HOJIAKBAR"</t>
  </si>
  <si>
    <t>Чустский район</t>
  </si>
  <si>
    <t>Приобретение 1600 штук животноводческой субпродукции</t>
  </si>
  <si>
    <t>ФХ "RUSLAN"</t>
  </si>
  <si>
    <t>г.Ургенч</t>
  </si>
  <si>
    <t>Приобритение 661,15 тонн отрубей и других видов корма</t>
  </si>
  <si>
    <t>ФХ "ALIJON ZOTLI CHORVALARI"</t>
  </si>
  <si>
    <t xml:space="preserve">Приобритения КРС 45 (племенные коровы породы Голыштейн) </t>
  </si>
  <si>
    <t>OOO "ANGEL-TEXTILE SAVDO"</t>
  </si>
  <si>
    <t>Элликкалинский район</t>
  </si>
  <si>
    <t xml:space="preserve">Приобритения КРС 40 (породы Ангус, Герпорт и Аулекол) </t>
  </si>
  <si>
    <t xml:space="preserve">ФХ "ANDIJON NASILLI ECHKILARI" </t>
  </si>
  <si>
    <t>город Андижан</t>
  </si>
  <si>
    <t xml:space="preserve">Приобритения КРС 258 (племенные коровы породы Голыштейн) </t>
  </si>
  <si>
    <t>OOO "VOBKENT TOMORQA XIZMATI"</t>
  </si>
  <si>
    <t>Вобкнтский район</t>
  </si>
  <si>
    <t>Приобритений 242,56 тонна пшеницы</t>
  </si>
  <si>
    <t>ФХ "XO'JANOVUL"</t>
  </si>
  <si>
    <t>Каттакурганский район</t>
  </si>
  <si>
    <t>Приобретение 20 шт симментал и 20 шт швец телят, а также 1 шт экскаватора-погрузчика SHONTUI L55-B50 и 1 шт Беларус 892 трактор.</t>
  </si>
  <si>
    <t>ЧФ "SURXON CHORVACHILIK"</t>
  </si>
  <si>
    <t>Приобритение МРС 130 голов. Гисарский пародий</t>
  </si>
  <si>
    <t>OOO "ABDULAZIZ ZOKIROVICH CHORVASI"</t>
  </si>
  <si>
    <t>Паярикский район</t>
  </si>
  <si>
    <t>Приобритение МРС 200 голов. эдилбой пародий</t>
  </si>
  <si>
    <t>ФХ "BEGZOD NASILLI MOLLARI"</t>
  </si>
  <si>
    <t>Пахтакорский район</t>
  </si>
  <si>
    <t xml:space="preserve">Приобритения КРС 33 (племенные коровы породы Голыштейн) </t>
  </si>
  <si>
    <t>Приобретение 12 500 изделий из черной кожи.</t>
  </si>
  <si>
    <t>CФ "SHAHRISABZ NATURAL MILK"</t>
  </si>
  <si>
    <t>Приобретение сырья для переработки молока</t>
  </si>
  <si>
    <t>OOO "OROL POLIMER"</t>
  </si>
  <si>
    <t>Муйнакский район</t>
  </si>
  <si>
    <t xml:space="preserve">Приобритение Лошади самцы местные (Возраст 20-30 месяцев) 11 шт. Лошади самки местные (Возраст 18-24 месяцев) 135 шт. Жеребенок самец (Возраст 7-10 месяцев) 14шт. Жеренок самка (Возраст 7-10 месяцев) 22шт. </t>
  </si>
  <si>
    <t>OOO "KOGON YUQORI NAV PARANDALARI"</t>
  </si>
  <si>
    <t xml:space="preserve">Приобритение 16 тонн мальков рыб и 280 тонн корма для рыб   </t>
  </si>
  <si>
    <t>ФХ "IDENTICAL WOLF"</t>
  </si>
  <si>
    <t>Боготский район</t>
  </si>
  <si>
    <t>Приобритение 2 шт ISUZU модел NPR82L, 1 шт LIUGONG булдозер модел Б161СЛ</t>
  </si>
  <si>
    <t>OOO "ROXAT MILLIY TAOMI"</t>
  </si>
  <si>
    <t>Приобритение МРС 4500 голов. Гисарский пародий</t>
  </si>
  <si>
    <t>ФХ "MUXAMMADAMIN-MUXAMMADALI BALIQLARI"</t>
  </si>
  <si>
    <t>Мирзаботский район</t>
  </si>
  <si>
    <t>Приобритение 141,18 тонн комбикорм, сазан 2800 шт, толсталоб 5000 шт и белиамур 1480 шт</t>
  </si>
  <si>
    <t>Одобренные суб-проекты со стороны «Развитие сектора животноводства (2-й этап)» с участием Международной ассоциации развития и Международного банка реконструкции и развития по состоянию на 01.04.2025</t>
  </si>
  <si>
    <t>ООО “GSGMA”</t>
  </si>
  <si>
    <t>Ташкентский область</t>
  </si>
  <si>
    <t>Кибрайский район</t>
  </si>
  <si>
    <t>Приобретение КРС 850 голов и реконструкция ферма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</si>
</sst>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_-[$$-409]* #,##0.00_ ;_-[$$-409]* \-#,##0.00\ ;_-[$$-409]* &quot;-&quot;??_ ;_-@_ "/>
    <numFmt numFmtId="167" formatCode="_-[$€-2]\ * #,##0.00_-;\-[$€-2]\ * #,##0.00_-;_-[$€-2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/>
    <xf numFmtId="164" fontId="3" fillId="2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right" vertical="center"/>
    </xf>
    <xf numFmtId="164" fontId="10" fillId="2" borderId="4" xfId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right" vertical="center"/>
    </xf>
    <xf numFmtId="14" fontId="0" fillId="0" borderId="2" xfId="3" applyNumberFormat="1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14" fontId="3" fillId="2" borderId="0" xfId="0" applyNumberFormat="1" applyFont="1" applyFill="1" applyAlignment="1">
      <alignment horizontal="right" vertical="center" wrapText="1"/>
    </xf>
    <xf numFmtId="164" fontId="3" fillId="2" borderId="0" xfId="1" applyFont="1" applyFill="1" applyAlignment="1">
      <alignment horizontal="right" vertical="center"/>
    </xf>
    <xf numFmtId="164" fontId="3" fillId="2" borderId="0" xfId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right" vertical="center"/>
    </xf>
    <xf numFmtId="167" fontId="3" fillId="2" borderId="0" xfId="1" applyNumberFormat="1" applyFont="1" applyFill="1" applyAlignment="1">
      <alignment horizontal="right" vertical="center"/>
    </xf>
    <xf numFmtId="166" fontId="5" fillId="2" borderId="0" xfId="1" applyNumberFormat="1" applyFont="1" applyFill="1" applyAlignment="1">
      <alignment horizontal="right" vertical="center"/>
    </xf>
    <xf numFmtId="167" fontId="5" fillId="2" borderId="0" xfId="1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center" vertical="center" wrapText="1"/>
    </xf>
    <xf numFmtId="167" fontId="5" fillId="2" borderId="0" xfId="0" applyNumberFormat="1" applyFont="1" applyFill="1"/>
    <xf numFmtId="167" fontId="3" fillId="2" borderId="0" xfId="0" applyNumberFormat="1" applyFont="1" applyFill="1"/>
    <xf numFmtId="166" fontId="3" fillId="2" borderId="0" xfId="0" applyNumberFormat="1" applyFont="1" applyFill="1"/>
    <xf numFmtId="166" fontId="12" fillId="2" borderId="0" xfId="0" applyNumberFormat="1" applyFont="1" applyFill="1" applyAlignment="1">
      <alignment horizontal="center" vertical="center" wrapText="1"/>
    </xf>
    <xf numFmtId="167" fontId="12" fillId="2" borderId="0" xfId="0" applyNumberFormat="1" applyFont="1" applyFill="1"/>
    <xf numFmtId="167" fontId="12" fillId="2" borderId="0" xfId="0" applyNumberFormat="1" applyFont="1" applyFill="1" applyAlignment="1">
      <alignment horizontal="center" vertical="center" wrapText="1"/>
    </xf>
    <xf numFmtId="167" fontId="3" fillId="2" borderId="0" xfId="2" applyNumberFormat="1" applyFont="1" applyFill="1"/>
    <xf numFmtId="17" fontId="3" fillId="2" borderId="0" xfId="0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4" fontId="0" fillId="0" borderId="4" xfId="3" applyNumberFormat="1" applyFont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/>
    </xf>
    <xf numFmtId="43" fontId="0" fillId="0" borderId="4" xfId="3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right" vertical="center"/>
    </xf>
    <xf numFmtId="43" fontId="0" fillId="0" borderId="2" xfId="3" applyFont="1" applyBorder="1" applyAlignment="1">
      <alignment horizontal="center" vertical="center" wrapText="1"/>
    </xf>
    <xf numFmtId="43" fontId="4" fillId="2" borderId="4" xfId="3" applyFont="1" applyFill="1" applyBorder="1" applyAlignment="1">
      <alignment horizontal="right" vertical="center"/>
    </xf>
    <xf numFmtId="164" fontId="10" fillId="2" borderId="2" xfId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14" fontId="0" fillId="4" borderId="4" xfId="3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0" fontId="5" fillId="4" borderId="0" xfId="0" applyFont="1" applyFill="1"/>
    <xf numFmtId="0" fontId="5" fillId="4" borderId="4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 wrapText="1"/>
    </xf>
    <xf numFmtId="14" fontId="0" fillId="4" borderId="2" xfId="3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4" fontId="2" fillId="4" borderId="2" xfId="3" applyNumberFormat="1" applyFont="1" applyFill="1" applyBorder="1" applyAlignment="1">
      <alignment horizontal="center" vertical="center" wrapText="1"/>
    </xf>
    <xf numFmtId="164" fontId="5" fillId="4" borderId="2" xfId="1" applyFont="1" applyFill="1" applyBorder="1" applyAlignment="1">
      <alignment horizontal="right" vertical="center"/>
    </xf>
    <xf numFmtId="4" fontId="14" fillId="4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4" fontId="5" fillId="5" borderId="6" xfId="0" applyNumberFormat="1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2" xfId="3" xr:uid="{42D3950E-C0C3-4626-BE05-3B5098848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48DE-0226-4B60-A3A8-E60490C16EF3}">
  <dimension ref="A1:K65"/>
  <sheetViews>
    <sheetView tabSelected="1" view="pageBreakPreview" zoomScale="70" zoomScaleNormal="70" zoomScaleSheetLayoutView="70" workbookViewId="0">
      <selection activeCell="K13" sqref="K13"/>
    </sheetView>
  </sheetViews>
  <sheetFormatPr defaultColWidth="9.140625" defaultRowHeight="15" x14ac:dyDescent="0.25"/>
  <cols>
    <col min="1" max="1" width="4.140625" style="2" bestFit="1" customWidth="1"/>
    <col min="2" max="2" width="53" style="3" customWidth="1"/>
    <col min="3" max="3" width="22.28515625" style="4" customWidth="1"/>
    <col min="4" max="4" width="21.7109375" style="4" bestFit="1" customWidth="1"/>
    <col min="5" max="5" width="14.7109375" style="5" customWidth="1"/>
    <col min="6" max="6" width="15.85546875" style="1" customWidth="1"/>
    <col min="7" max="7" width="15.5703125" style="1" customWidth="1"/>
    <col min="8" max="8" width="15.7109375" style="1" customWidth="1"/>
    <col min="9" max="9" width="15.5703125" style="1" customWidth="1"/>
    <col min="10" max="10" width="21.140625" style="4" bestFit="1" customWidth="1"/>
    <col min="11" max="11" width="48" style="4" customWidth="1"/>
    <col min="12" max="16384" width="9.140625" style="1"/>
  </cols>
  <sheetData>
    <row r="1" spans="1:11" ht="26.25" customHeight="1" x14ac:dyDescent="0.25">
      <c r="A1" s="95" t="s">
        <v>106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thickBo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8" customFormat="1" ht="72" thickBot="1" x14ac:dyDescent="0.3">
      <c r="A3" s="82" t="s">
        <v>0</v>
      </c>
      <c r="B3" s="82" t="s">
        <v>1</v>
      </c>
      <c r="C3" s="82" t="s">
        <v>2</v>
      </c>
      <c r="D3" s="82" t="s">
        <v>3</v>
      </c>
      <c r="E3" s="83" t="s">
        <v>4</v>
      </c>
      <c r="F3" s="82" t="s">
        <v>5</v>
      </c>
      <c r="G3" s="82" t="s">
        <v>6</v>
      </c>
      <c r="H3" s="82" t="s">
        <v>7</v>
      </c>
      <c r="I3" s="82" t="s">
        <v>8</v>
      </c>
      <c r="J3" s="84" t="s">
        <v>9</v>
      </c>
      <c r="K3" s="82" t="s">
        <v>10</v>
      </c>
    </row>
    <row r="4" spans="1:11" s="8" customFormat="1" ht="31.5" customHeight="1" thickBot="1" x14ac:dyDescent="0.3">
      <c r="A4" s="85">
        <f>A5+A8+A10+A12+A15+A18+A21+A23+A28+A31+A37+A41</f>
        <v>26</v>
      </c>
      <c r="B4" s="92" t="s">
        <v>52</v>
      </c>
      <c r="C4" s="86"/>
      <c r="D4" s="87"/>
      <c r="E4" s="88"/>
      <c r="F4" s="89">
        <f>F5+F8+F10+F12+F15+F18+F21+F23+F28+F31+F37+F41</f>
        <v>10996.212354145297</v>
      </c>
      <c r="G4" s="89">
        <f>G5+G8+G10+G12+G15+G18+G21+G23+G28+G31+G37+G41</f>
        <v>6898.0097854268088</v>
      </c>
      <c r="H4" s="89">
        <f>H5+H8+H10+H12+H15+H18+H21+H23+H28+H31+H37+H41</f>
        <v>4098.202568718486</v>
      </c>
      <c r="I4" s="89">
        <f>I5+I8+I10+I12+I15+I18+I21+I23+I28+I31+I37+I41</f>
        <v>84348.125</v>
      </c>
      <c r="J4" s="90"/>
      <c r="K4" s="91"/>
    </row>
    <row r="5" spans="1:11" s="9" customFormat="1" ht="15.75" x14ac:dyDescent="0.25">
      <c r="A5" s="66">
        <v>2</v>
      </c>
      <c r="B5" s="67" t="s">
        <v>23</v>
      </c>
      <c r="C5" s="68"/>
      <c r="D5" s="69"/>
      <c r="E5" s="70"/>
      <c r="F5" s="71">
        <f>SUM(F6:F7)</f>
        <v>271.79680463082542</v>
      </c>
      <c r="G5" s="71">
        <f>SUM(G6:G7)</f>
        <v>188.75431572076278</v>
      </c>
      <c r="H5" s="71">
        <f>SUM(H6:H7)</f>
        <v>83.042488910062673</v>
      </c>
      <c r="I5" s="71">
        <f>SUM(I6:I7)</f>
        <v>2448</v>
      </c>
      <c r="J5" s="72"/>
      <c r="K5" s="68"/>
    </row>
    <row r="6" spans="1:11" s="9" customFormat="1" ht="30" x14ac:dyDescent="0.2">
      <c r="A6" s="10">
        <v>1</v>
      </c>
      <c r="B6" s="17" t="s">
        <v>65</v>
      </c>
      <c r="C6" s="16" t="s">
        <v>66</v>
      </c>
      <c r="D6" s="12" t="s">
        <v>53</v>
      </c>
      <c r="E6" s="51">
        <v>45671</v>
      </c>
      <c r="F6" s="19">
        <f>+G6+H6</f>
        <v>49.363671423062087</v>
      </c>
      <c r="G6" s="19">
        <f>I6/12.965</f>
        <v>34.554569996143464</v>
      </c>
      <c r="H6" s="53">
        <f>192/12.965</f>
        <v>14.809101426918627</v>
      </c>
      <c r="I6" s="56">
        <v>448</v>
      </c>
      <c r="J6" s="15" t="s">
        <v>15</v>
      </c>
      <c r="K6" s="11" t="s">
        <v>67</v>
      </c>
    </row>
    <row r="7" spans="1:11" s="9" customFormat="1" ht="30" x14ac:dyDescent="0.2">
      <c r="A7" s="10">
        <v>2</v>
      </c>
      <c r="B7" s="17" t="s">
        <v>98</v>
      </c>
      <c r="C7" s="16" t="s">
        <v>99</v>
      </c>
      <c r="D7" s="12" t="s">
        <v>56</v>
      </c>
      <c r="E7" s="51">
        <v>45707</v>
      </c>
      <c r="F7" s="19">
        <f>+G7+H7</f>
        <v>222.43313320776335</v>
      </c>
      <c r="G7" s="19">
        <f>I7/12.97019</f>
        <v>154.19974572461931</v>
      </c>
      <c r="H7" s="19">
        <f>885/12.97019</f>
        <v>68.233387483144043</v>
      </c>
      <c r="I7" s="56">
        <v>2000</v>
      </c>
      <c r="J7" s="15" t="s">
        <v>18</v>
      </c>
      <c r="K7" s="16" t="s">
        <v>100</v>
      </c>
    </row>
    <row r="8" spans="1:11" s="65" customFormat="1" ht="31.5" customHeight="1" x14ac:dyDescent="0.2">
      <c r="A8" s="66">
        <v>1</v>
      </c>
      <c r="B8" s="73" t="s">
        <v>57</v>
      </c>
      <c r="C8" s="58"/>
      <c r="D8" s="59"/>
      <c r="E8" s="60"/>
      <c r="F8" s="71">
        <f>F9</f>
        <v>186.41630567691669</v>
      </c>
      <c r="G8" s="71">
        <f>G9</f>
        <v>116.01170326062494</v>
      </c>
      <c r="H8" s="71">
        <f>H9</f>
        <v>70.404602416291766</v>
      </c>
      <c r="I8" s="71">
        <f>I9</f>
        <v>1500</v>
      </c>
      <c r="J8" s="61"/>
      <c r="K8" s="58"/>
    </row>
    <row r="9" spans="1:11" s="9" customFormat="1" ht="39" customHeight="1" x14ac:dyDescent="0.2">
      <c r="A9" s="10">
        <v>1</v>
      </c>
      <c r="B9" s="17" t="s">
        <v>103</v>
      </c>
      <c r="C9" s="16" t="s">
        <v>104</v>
      </c>
      <c r="D9" s="12" t="s">
        <v>56</v>
      </c>
      <c r="E9" s="51">
        <v>45742</v>
      </c>
      <c r="F9" s="19">
        <f>+G9+H9</f>
        <v>186.41630567691669</v>
      </c>
      <c r="G9" s="19">
        <f>I9/12.92973</f>
        <v>116.01170326062494</v>
      </c>
      <c r="H9" s="19">
        <f>910.3125/12.92973</f>
        <v>70.404602416291766</v>
      </c>
      <c r="I9" s="56">
        <v>1500</v>
      </c>
      <c r="J9" s="15" t="s">
        <v>18</v>
      </c>
      <c r="K9" s="16" t="s">
        <v>105</v>
      </c>
    </row>
    <row r="10" spans="1:11" s="9" customFormat="1" ht="33.75" customHeight="1" x14ac:dyDescent="0.2">
      <c r="A10" s="66">
        <v>1</v>
      </c>
      <c r="B10" s="73" t="s">
        <v>14</v>
      </c>
      <c r="C10" s="58"/>
      <c r="D10" s="59"/>
      <c r="E10" s="60"/>
      <c r="F10" s="71">
        <f>F11</f>
        <v>73.461522401124654</v>
      </c>
      <c r="G10" s="71">
        <f>G11</f>
        <v>39.823877933241256</v>
      </c>
      <c r="H10" s="71">
        <f>H11</f>
        <v>33.637644467883391</v>
      </c>
      <c r="I10" s="71">
        <f>I11</f>
        <v>515</v>
      </c>
      <c r="J10" s="61"/>
      <c r="K10" s="58"/>
    </row>
    <row r="11" spans="1:11" s="9" customFormat="1" ht="28.5" customHeight="1" x14ac:dyDescent="0.2">
      <c r="A11" s="10">
        <v>1</v>
      </c>
      <c r="B11" s="17" t="s">
        <v>82</v>
      </c>
      <c r="C11" s="16" t="s">
        <v>28</v>
      </c>
      <c r="D11" s="12" t="s">
        <v>53</v>
      </c>
      <c r="E11" s="51">
        <v>45729</v>
      </c>
      <c r="F11" s="19">
        <f>+G11+H11</f>
        <v>73.461522401124654</v>
      </c>
      <c r="G11" s="19">
        <f>I11/12.93194</f>
        <v>39.823877933241256</v>
      </c>
      <c r="H11" s="19">
        <f>435/12.93194</f>
        <v>33.637644467883391</v>
      </c>
      <c r="I11" s="56">
        <v>515</v>
      </c>
      <c r="J11" s="15" t="s">
        <v>15</v>
      </c>
      <c r="K11" s="16" t="s">
        <v>83</v>
      </c>
    </row>
    <row r="12" spans="1:11" s="9" customFormat="1" ht="26.25" customHeight="1" x14ac:dyDescent="0.2">
      <c r="A12" s="66">
        <v>2</v>
      </c>
      <c r="B12" s="73" t="s">
        <v>21</v>
      </c>
      <c r="C12" s="58"/>
      <c r="D12" s="59"/>
      <c r="E12" s="60"/>
      <c r="F12" s="71">
        <f>SUM(F13:F14)</f>
        <v>382.40556405330165</v>
      </c>
      <c r="G12" s="71">
        <f>SUM(G13:G14)</f>
        <v>257.01264580185557</v>
      </c>
      <c r="H12" s="71">
        <f>SUM(H13:H14)</f>
        <v>125.39291825144601</v>
      </c>
      <c r="I12" s="71">
        <f>SUM(I13:I14)</f>
        <v>3327</v>
      </c>
      <c r="J12" s="61"/>
      <c r="K12" s="58"/>
    </row>
    <row r="13" spans="1:11" s="9" customFormat="1" ht="45" x14ac:dyDescent="0.2">
      <c r="A13" s="10">
        <v>1</v>
      </c>
      <c r="B13" s="17" t="s">
        <v>79</v>
      </c>
      <c r="C13" s="16" t="s">
        <v>80</v>
      </c>
      <c r="D13" s="12" t="s">
        <v>53</v>
      </c>
      <c r="E13" s="51">
        <v>45708</v>
      </c>
      <c r="F13" s="19">
        <f>+G13+H13</f>
        <v>277.99181109509107</v>
      </c>
      <c r="G13" s="19">
        <f>I13/12.95003</f>
        <v>193.04974583070464</v>
      </c>
      <c r="H13" s="53">
        <f>1100/12.950003</f>
        <v>84.942065264386414</v>
      </c>
      <c r="I13" s="56">
        <v>2500</v>
      </c>
      <c r="J13" s="15" t="s">
        <v>15</v>
      </c>
      <c r="K13" s="11" t="s">
        <v>81</v>
      </c>
    </row>
    <row r="14" spans="1:11" s="9" customFormat="1" ht="41.25" customHeight="1" x14ac:dyDescent="0.2">
      <c r="A14" s="10">
        <v>2</v>
      </c>
      <c r="B14" s="17" t="s">
        <v>84</v>
      </c>
      <c r="C14" s="16" t="s">
        <v>85</v>
      </c>
      <c r="D14" s="12" t="s">
        <v>53</v>
      </c>
      <c r="E14" s="51">
        <v>45742</v>
      </c>
      <c r="F14" s="19">
        <f>+G14+H14</f>
        <v>104.41375295821055</v>
      </c>
      <c r="G14" s="19">
        <f>I14/12.92937</f>
        <v>63.962899971150954</v>
      </c>
      <c r="H14" s="19">
        <f>523/12.92927</f>
        <v>40.450852987059591</v>
      </c>
      <c r="I14" s="56">
        <v>827</v>
      </c>
      <c r="J14" s="15" t="s">
        <v>15</v>
      </c>
      <c r="K14" s="16" t="s">
        <v>86</v>
      </c>
    </row>
    <row r="15" spans="1:11" s="9" customFormat="1" ht="36" customHeight="1" x14ac:dyDescent="0.2">
      <c r="A15" s="66">
        <f>A17</f>
        <v>2</v>
      </c>
      <c r="B15" s="73" t="s">
        <v>19</v>
      </c>
      <c r="C15" s="58"/>
      <c r="D15" s="59"/>
      <c r="E15" s="60"/>
      <c r="F15" s="71">
        <f>SUM(F16:F17)</f>
        <v>391.50268206958174</v>
      </c>
      <c r="G15" s="71">
        <f>SUM(G16:G17)</f>
        <v>262.37768090390813</v>
      </c>
      <c r="H15" s="71">
        <f>SUM(H16:H17)</f>
        <v>129.12500116567361</v>
      </c>
      <c r="I15" s="71">
        <f>SUM(I16:I17)</f>
        <v>3400</v>
      </c>
      <c r="J15" s="61"/>
      <c r="K15" s="58"/>
    </row>
    <row r="16" spans="1:11" s="9" customFormat="1" ht="36.75" customHeight="1" x14ac:dyDescent="0.2">
      <c r="A16" s="10">
        <v>1</v>
      </c>
      <c r="B16" s="17" t="s">
        <v>70</v>
      </c>
      <c r="C16" s="16" t="s">
        <v>71</v>
      </c>
      <c r="D16" s="12" t="s">
        <v>53</v>
      </c>
      <c r="E16" s="51">
        <v>45684</v>
      </c>
      <c r="F16" s="19">
        <f>+G16+H16</f>
        <v>65.561126108754337</v>
      </c>
      <c r="G16" s="19">
        <f>I16/12.965</f>
        <v>46.278441959120713</v>
      </c>
      <c r="H16" s="53">
        <f>250/12.965</f>
        <v>19.282684149633628</v>
      </c>
      <c r="I16" s="56">
        <v>600</v>
      </c>
      <c r="J16" s="15" t="s">
        <v>15</v>
      </c>
      <c r="K16" s="11" t="s">
        <v>72</v>
      </c>
    </row>
    <row r="17" spans="1:11" s="9" customFormat="1" ht="75" x14ac:dyDescent="0.2">
      <c r="A17" s="10">
        <v>2</v>
      </c>
      <c r="B17" s="17" t="s">
        <v>93</v>
      </c>
      <c r="C17" s="16" t="s">
        <v>94</v>
      </c>
      <c r="D17" s="12" t="s">
        <v>56</v>
      </c>
      <c r="E17" s="51">
        <v>45688</v>
      </c>
      <c r="F17" s="19">
        <f>+G17+H17</f>
        <v>325.94155596082737</v>
      </c>
      <c r="G17" s="19">
        <f>I17/12.95701</f>
        <v>216.0992389447874</v>
      </c>
      <c r="H17" s="19">
        <f>1423.228/12.95701</f>
        <v>109.84231701603997</v>
      </c>
      <c r="I17" s="56">
        <v>2800</v>
      </c>
      <c r="J17" s="15" t="s">
        <v>15</v>
      </c>
      <c r="K17" s="16" t="s">
        <v>95</v>
      </c>
    </row>
    <row r="18" spans="1:11" s="9" customFormat="1" ht="26.25" customHeight="1" x14ac:dyDescent="0.2">
      <c r="A18" s="66">
        <v>2</v>
      </c>
      <c r="B18" s="73" t="s">
        <v>20</v>
      </c>
      <c r="C18" s="58"/>
      <c r="D18" s="59"/>
      <c r="E18" s="60"/>
      <c r="F18" s="71">
        <f>SUM(F19:F20)</f>
        <v>1196.2398626463428</v>
      </c>
      <c r="G18" s="71">
        <f>SUM(G19:G20)</f>
        <v>796.46483194291466</v>
      </c>
      <c r="H18" s="71">
        <f>SUM(H19:H20)</f>
        <v>399.77503070342806</v>
      </c>
      <c r="I18" s="71">
        <f>SUM(I19:I20)</f>
        <v>10320</v>
      </c>
      <c r="J18" s="61"/>
      <c r="K18" s="58"/>
    </row>
    <row r="19" spans="1:11" s="9" customFormat="1" ht="30" x14ac:dyDescent="0.2">
      <c r="A19" s="10">
        <v>1</v>
      </c>
      <c r="B19" s="17" t="s">
        <v>29</v>
      </c>
      <c r="C19" s="16" t="s">
        <v>30</v>
      </c>
      <c r="D19" s="12" t="s">
        <v>12</v>
      </c>
      <c r="E19" s="18">
        <v>45688</v>
      </c>
      <c r="F19" s="13">
        <f>+G19+H19</f>
        <v>1157.6744943470756</v>
      </c>
      <c r="G19" s="19">
        <f>I19/12.95701</f>
        <v>771.78299623138366</v>
      </c>
      <c r="H19" s="19">
        <f>5000/12.95701</f>
        <v>385.89149811569183</v>
      </c>
      <c r="I19" s="14">
        <v>10000</v>
      </c>
      <c r="J19" s="15" t="s">
        <v>13</v>
      </c>
      <c r="K19" s="16" t="s">
        <v>31</v>
      </c>
    </row>
    <row r="20" spans="1:11" s="9" customFormat="1" ht="30" x14ac:dyDescent="0.2">
      <c r="A20" s="10">
        <v>2</v>
      </c>
      <c r="B20" s="17" t="s">
        <v>62</v>
      </c>
      <c r="C20" s="16" t="s">
        <v>63</v>
      </c>
      <c r="D20" s="12" t="s">
        <v>53</v>
      </c>
      <c r="E20" s="51">
        <v>45678</v>
      </c>
      <c r="F20" s="19">
        <f>+G20+H20</f>
        <v>38.565368299267263</v>
      </c>
      <c r="G20" s="19">
        <f>I20/12.965</f>
        <v>24.681835711531047</v>
      </c>
      <c r="H20" s="53">
        <f>180/12.965</f>
        <v>13.883532587736212</v>
      </c>
      <c r="I20" s="56">
        <v>320</v>
      </c>
      <c r="J20" s="15" t="s">
        <v>60</v>
      </c>
      <c r="K20" s="11" t="s">
        <v>64</v>
      </c>
    </row>
    <row r="21" spans="1:11" s="9" customFormat="1" ht="25.5" customHeight="1" x14ac:dyDescent="0.2">
      <c r="A21" s="66">
        <v>1</v>
      </c>
      <c r="B21" s="73" t="s">
        <v>22</v>
      </c>
      <c r="C21" s="58"/>
      <c r="D21" s="59"/>
      <c r="E21" s="60"/>
      <c r="F21" s="71">
        <f>SUM(F22)</f>
        <v>115.69610489780177</v>
      </c>
      <c r="G21" s="71">
        <f>SUM(G22)</f>
        <v>53.991515618974162</v>
      </c>
      <c r="H21" s="71">
        <f>SUM(H22)</f>
        <v>61.704589278827612</v>
      </c>
      <c r="I21" s="71">
        <f>SUM(I22)</f>
        <v>700</v>
      </c>
      <c r="J21" s="61"/>
      <c r="K21" s="63"/>
    </row>
    <row r="22" spans="1:11" ht="30" x14ac:dyDescent="0.25">
      <c r="A22" s="21">
        <v>1</v>
      </c>
      <c r="B22" s="17" t="s">
        <v>68</v>
      </c>
      <c r="C22" s="20" t="s">
        <v>61</v>
      </c>
      <c r="D22" s="12" t="s">
        <v>53</v>
      </c>
      <c r="E22" s="24">
        <v>45679</v>
      </c>
      <c r="F22" s="23">
        <f>+G22+H22</f>
        <v>115.69610489780177</v>
      </c>
      <c r="G22" s="23">
        <f>I22/12.965</f>
        <v>53.991515618974162</v>
      </c>
      <c r="H22" s="25">
        <f>800/12.965</f>
        <v>61.704589278827612</v>
      </c>
      <c r="I22" s="26">
        <v>700</v>
      </c>
      <c r="J22" s="15" t="s">
        <v>15</v>
      </c>
      <c r="K22" s="11" t="s">
        <v>69</v>
      </c>
    </row>
    <row r="23" spans="1:11" ht="31.5" customHeight="1" x14ac:dyDescent="0.25">
      <c r="A23" s="75">
        <v>4</v>
      </c>
      <c r="B23" s="73" t="s">
        <v>24</v>
      </c>
      <c r="C23" s="62"/>
      <c r="D23" s="59"/>
      <c r="E23" s="74"/>
      <c r="F23" s="80">
        <f>SUM(F24:F27)</f>
        <v>578.52062232362812</v>
      </c>
      <c r="G23" s="80">
        <f>SUM(G24:G27)</f>
        <v>381.84579936973392</v>
      </c>
      <c r="H23" s="80">
        <f>SUM(H24:H27)</f>
        <v>196.67482295389416</v>
      </c>
      <c r="I23" s="80">
        <f>SUM(I24:I27)</f>
        <v>4950</v>
      </c>
      <c r="J23" s="61"/>
      <c r="K23" s="63"/>
    </row>
    <row r="24" spans="1:11" ht="30" x14ac:dyDescent="0.25">
      <c r="A24" s="21">
        <v>1</v>
      </c>
      <c r="B24" s="17" t="s">
        <v>35</v>
      </c>
      <c r="C24" s="50" t="s">
        <v>36</v>
      </c>
      <c r="D24" s="12" t="s">
        <v>12</v>
      </c>
      <c r="E24" s="22">
        <v>45706</v>
      </c>
      <c r="F24" s="52">
        <f>+G24+H24</f>
        <v>275.78237843042854</v>
      </c>
      <c r="G24" s="23">
        <f>I24/12.98125</f>
        <v>192.58545979778529</v>
      </c>
      <c r="H24" s="54">
        <f>1080/12.98125</f>
        <v>83.196918632643246</v>
      </c>
      <c r="I24" s="57">
        <v>2500</v>
      </c>
      <c r="J24" s="15" t="s">
        <v>15</v>
      </c>
      <c r="K24" s="16" t="s">
        <v>37</v>
      </c>
    </row>
    <row r="25" spans="1:11" ht="30" x14ac:dyDescent="0.25">
      <c r="A25" s="21">
        <v>2</v>
      </c>
      <c r="B25" s="17" t="s">
        <v>38</v>
      </c>
      <c r="C25" s="50" t="s">
        <v>39</v>
      </c>
      <c r="D25" s="12" t="s">
        <v>12</v>
      </c>
      <c r="E25" s="22">
        <v>45708</v>
      </c>
      <c r="F25" s="52">
        <f>+G25+H25</f>
        <v>117.71563463559544</v>
      </c>
      <c r="G25" s="23">
        <f>900/12.95003</f>
        <v>69.497908499053665</v>
      </c>
      <c r="H25" s="54">
        <f>624.421/12.95003</f>
        <v>48.217726136541771</v>
      </c>
      <c r="I25" s="57">
        <v>900</v>
      </c>
      <c r="J25" s="15" t="s">
        <v>15</v>
      </c>
      <c r="K25" s="16" t="s">
        <v>40</v>
      </c>
    </row>
    <row r="26" spans="1:11" ht="30" x14ac:dyDescent="0.25">
      <c r="A26" s="21">
        <v>3</v>
      </c>
      <c r="B26" s="17" t="s">
        <v>46</v>
      </c>
      <c r="C26" s="50" t="s">
        <v>47</v>
      </c>
      <c r="D26" s="12" t="s">
        <v>12</v>
      </c>
      <c r="E26" s="22">
        <v>45735</v>
      </c>
      <c r="F26" s="52">
        <f>+G26+H26</f>
        <v>135.41367751830597</v>
      </c>
      <c r="G26" s="23">
        <f>I26/12.93568</f>
        <v>92.766673263407881</v>
      </c>
      <c r="H26" s="54">
        <f>551.668/12.93568</f>
        <v>42.647004254898079</v>
      </c>
      <c r="I26" s="57">
        <v>1200</v>
      </c>
      <c r="J26" s="15" t="s">
        <v>13</v>
      </c>
      <c r="K26" s="16" t="s">
        <v>48</v>
      </c>
    </row>
    <row r="27" spans="1:11" ht="30" customHeight="1" x14ac:dyDescent="0.25">
      <c r="A27" s="21">
        <v>4</v>
      </c>
      <c r="B27" s="17" t="s">
        <v>91</v>
      </c>
      <c r="C27" s="20" t="s">
        <v>59</v>
      </c>
      <c r="D27" s="12" t="s">
        <v>56</v>
      </c>
      <c r="E27" s="24">
        <v>45684</v>
      </c>
      <c r="F27" s="23">
        <f>+G27+H27</f>
        <v>49.608931739298114</v>
      </c>
      <c r="G27" s="23">
        <f>I27/12.965</f>
        <v>26.995757809487081</v>
      </c>
      <c r="H27" s="54">
        <f>293.1798/12.965</f>
        <v>22.61317392981103</v>
      </c>
      <c r="I27" s="26">
        <v>350</v>
      </c>
      <c r="J27" s="15" t="s">
        <v>15</v>
      </c>
      <c r="K27" s="16" t="s">
        <v>92</v>
      </c>
    </row>
    <row r="28" spans="1:11" s="64" customFormat="1" ht="30.75" customHeight="1" x14ac:dyDescent="0.25">
      <c r="A28" s="75">
        <v>2</v>
      </c>
      <c r="B28" s="73" t="s">
        <v>16</v>
      </c>
      <c r="C28" s="62"/>
      <c r="D28" s="59"/>
      <c r="E28" s="74"/>
      <c r="F28" s="80">
        <f>SUM(F29:F30)</f>
        <v>860.15020527447234</v>
      </c>
      <c r="G28" s="80">
        <f>SUM(G29:G30)</f>
        <v>459.05450922976138</v>
      </c>
      <c r="H28" s="80">
        <f>SUM(H29:H30)</f>
        <v>401.09569604471096</v>
      </c>
      <c r="I28" s="80">
        <f>SUM(I29:I30)</f>
        <v>1022.125</v>
      </c>
      <c r="J28" s="61"/>
      <c r="K28" s="58"/>
    </row>
    <row r="29" spans="1:11" ht="30" x14ac:dyDescent="0.25">
      <c r="A29" s="21">
        <v>1</v>
      </c>
      <c r="B29" s="17" t="s">
        <v>87</v>
      </c>
      <c r="C29" s="20" t="s">
        <v>88</v>
      </c>
      <c r="D29" s="12" t="s">
        <v>53</v>
      </c>
      <c r="E29" s="24">
        <v>45742</v>
      </c>
      <c r="F29" s="23">
        <f>+G29+H29</f>
        <v>315.15020527447234</v>
      </c>
      <c r="G29" s="23">
        <f>I29/12.92937</f>
        <v>79.054509229761379</v>
      </c>
      <c r="H29" s="54">
        <f>3052.545/12.92927</f>
        <v>236.09569604471093</v>
      </c>
      <c r="I29" s="26">
        <v>1022.125</v>
      </c>
      <c r="J29" s="15" t="s">
        <v>15</v>
      </c>
      <c r="K29" s="11" t="s">
        <v>89</v>
      </c>
    </row>
    <row r="30" spans="1:11" ht="30" x14ac:dyDescent="0.25">
      <c r="A30" s="21">
        <v>2</v>
      </c>
      <c r="B30" s="17" t="s">
        <v>101</v>
      </c>
      <c r="C30" s="20" t="s">
        <v>17</v>
      </c>
      <c r="D30" s="12" t="s">
        <v>56</v>
      </c>
      <c r="E30" s="24">
        <v>45729</v>
      </c>
      <c r="F30" s="23">
        <f>+G30+H30</f>
        <v>545</v>
      </c>
      <c r="G30" s="23">
        <v>380</v>
      </c>
      <c r="H30" s="54">
        <v>165</v>
      </c>
      <c r="I30" s="26"/>
      <c r="J30" s="15" t="s">
        <v>15</v>
      </c>
      <c r="K30" s="16" t="s">
        <v>102</v>
      </c>
    </row>
    <row r="31" spans="1:11" s="64" customFormat="1" ht="28.5" customHeight="1" x14ac:dyDescent="0.25">
      <c r="A31" s="75">
        <v>5</v>
      </c>
      <c r="B31" s="73" t="s">
        <v>25</v>
      </c>
      <c r="C31" s="62"/>
      <c r="D31" s="59"/>
      <c r="E31" s="74"/>
      <c r="F31" s="80">
        <f>SUM(F32:F36)</f>
        <v>1025.9095003568887</v>
      </c>
      <c r="G31" s="80">
        <f>SUM(G32:G36)</f>
        <v>527.50571622328698</v>
      </c>
      <c r="H31" s="80">
        <f>SUM(H32:H36)</f>
        <v>498.40378413360168</v>
      </c>
      <c r="I31" s="80">
        <f>SUM(I32:I36)</f>
        <v>6816</v>
      </c>
      <c r="J31" s="61"/>
      <c r="K31" s="58"/>
    </row>
    <row r="32" spans="1:11" ht="30" x14ac:dyDescent="0.25">
      <c r="A32" s="21">
        <v>1</v>
      </c>
      <c r="B32" s="17" t="s">
        <v>43</v>
      </c>
      <c r="C32" s="50" t="s">
        <v>44</v>
      </c>
      <c r="D32" s="12" t="s">
        <v>12</v>
      </c>
      <c r="E32" s="22">
        <v>45716</v>
      </c>
      <c r="F32" s="52">
        <f>+G32+H32</f>
        <v>178.60789897315988</v>
      </c>
      <c r="G32" s="23">
        <f>I32/12.87737</f>
        <v>124.24897319871992</v>
      </c>
      <c r="H32" s="23">
        <f>700/12.87737</f>
        <v>54.35892577443996</v>
      </c>
      <c r="I32" s="57">
        <v>1600</v>
      </c>
      <c r="J32" s="15" t="s">
        <v>15</v>
      </c>
      <c r="K32" s="20" t="s">
        <v>45</v>
      </c>
    </row>
    <row r="33" spans="1:11" ht="45" x14ac:dyDescent="0.25">
      <c r="A33" s="21">
        <v>2</v>
      </c>
      <c r="B33" s="17" t="s">
        <v>49</v>
      </c>
      <c r="C33" s="50" t="s">
        <v>50</v>
      </c>
      <c r="D33" s="12" t="s">
        <v>12</v>
      </c>
      <c r="E33" s="22">
        <v>45743</v>
      </c>
      <c r="F33" s="52">
        <f>+G33+H33</f>
        <v>216.14446762345273</v>
      </c>
      <c r="G33" s="23">
        <f>I33/12.90919</f>
        <v>134.78769775640453</v>
      </c>
      <c r="H33" s="23">
        <f>1050.25/12.90919</f>
        <v>81.3567698670482</v>
      </c>
      <c r="I33" s="57">
        <v>1740</v>
      </c>
      <c r="J33" s="15" t="s">
        <v>15</v>
      </c>
      <c r="K33" s="50" t="s">
        <v>51</v>
      </c>
    </row>
    <row r="34" spans="1:11" ht="28.5" customHeight="1" x14ac:dyDescent="0.25">
      <c r="A34" s="21">
        <v>3</v>
      </c>
      <c r="B34" s="17" t="s">
        <v>76</v>
      </c>
      <c r="C34" s="20" t="s">
        <v>77</v>
      </c>
      <c r="D34" s="12" t="s">
        <v>53</v>
      </c>
      <c r="E34" s="24">
        <v>45713</v>
      </c>
      <c r="F34" s="23">
        <f>+G34+H34</f>
        <v>176.61304596400814</v>
      </c>
      <c r="G34" s="23">
        <f>I34/12.89921</f>
        <v>56.282516526205868</v>
      </c>
      <c r="H34" s="55">
        <f>1552.253/12.89991</f>
        <v>120.33052943780227</v>
      </c>
      <c r="I34" s="26">
        <v>726</v>
      </c>
      <c r="J34" s="15" t="s">
        <v>15</v>
      </c>
      <c r="K34" s="11" t="s">
        <v>78</v>
      </c>
    </row>
    <row r="35" spans="1:11" ht="31.5" customHeight="1" x14ac:dyDescent="0.25">
      <c r="A35" s="21">
        <v>4</v>
      </c>
      <c r="B35" s="17" t="s">
        <v>54</v>
      </c>
      <c r="C35" s="20" t="s">
        <v>26</v>
      </c>
      <c r="D35" s="12" t="s">
        <v>53</v>
      </c>
      <c r="E35" s="24">
        <v>45742</v>
      </c>
      <c r="F35" s="23">
        <f>+G35+H35</f>
        <v>179.53327598954371</v>
      </c>
      <c r="G35" s="23">
        <f>I35/12.92937</f>
        <v>58.007466721116337</v>
      </c>
      <c r="H35" s="23">
        <f>1571.24/12.92927</f>
        <v>121.52580926842737</v>
      </c>
      <c r="I35" s="26">
        <v>750</v>
      </c>
      <c r="J35" s="20" t="s">
        <v>55</v>
      </c>
      <c r="K35" s="11" t="s">
        <v>90</v>
      </c>
    </row>
    <row r="36" spans="1:11" ht="30" x14ac:dyDescent="0.25">
      <c r="A36" s="21">
        <v>5</v>
      </c>
      <c r="B36" s="17" t="s">
        <v>96</v>
      </c>
      <c r="C36" s="20" t="s">
        <v>58</v>
      </c>
      <c r="D36" s="12" t="s">
        <v>56</v>
      </c>
      <c r="E36" s="24">
        <v>45699</v>
      </c>
      <c r="F36" s="23">
        <f>+G36+H36</f>
        <v>275.01081180672418</v>
      </c>
      <c r="G36" s="23">
        <f>I36/12.97193</f>
        <v>154.17906202084038</v>
      </c>
      <c r="H36" s="23">
        <f>1567.421/12.97193</f>
        <v>120.83174978588383</v>
      </c>
      <c r="I36" s="26">
        <v>2000</v>
      </c>
      <c r="J36" s="15" t="s">
        <v>18</v>
      </c>
      <c r="K36" s="20" t="s">
        <v>97</v>
      </c>
    </row>
    <row r="37" spans="1:11" s="65" customFormat="1" ht="30" customHeight="1" x14ac:dyDescent="0.2">
      <c r="A37" s="75">
        <f>A40</f>
        <v>3</v>
      </c>
      <c r="B37" s="76" t="s">
        <v>11</v>
      </c>
      <c r="C37" s="77"/>
      <c r="D37" s="78"/>
      <c r="E37" s="79"/>
      <c r="F37" s="80">
        <f>SUM(F38:F40)</f>
        <v>2742.3367297130308</v>
      </c>
      <c r="G37" s="80">
        <f>SUM(G38:G40)</f>
        <v>1494.3551527621985</v>
      </c>
      <c r="H37" s="80">
        <f>SUM(H38:H40)</f>
        <v>1247.9815769508323</v>
      </c>
      <c r="I37" s="80">
        <f>SUM(I38:I40)</f>
        <v>19350</v>
      </c>
      <c r="J37" s="81"/>
      <c r="K37" s="77"/>
    </row>
    <row r="38" spans="1:11" ht="30" x14ac:dyDescent="0.25">
      <c r="A38" s="21">
        <v>1</v>
      </c>
      <c r="B38" s="17" t="s">
        <v>33</v>
      </c>
      <c r="C38" s="50" t="s">
        <v>32</v>
      </c>
      <c r="D38" s="12" t="s">
        <v>12</v>
      </c>
      <c r="E38" s="22">
        <v>45688</v>
      </c>
      <c r="F38" s="52">
        <f>+G38+H38</f>
        <v>1289.8298875028895</v>
      </c>
      <c r="G38" s="23">
        <f>I38/12.95701</f>
        <v>771.78299623138366</v>
      </c>
      <c r="H38" s="23">
        <f>6710.78461/12.95401</f>
        <v>518.04689127150584</v>
      </c>
      <c r="I38" s="57">
        <v>10000</v>
      </c>
      <c r="J38" s="15" t="s">
        <v>18</v>
      </c>
      <c r="K38" s="50" t="s">
        <v>34</v>
      </c>
    </row>
    <row r="39" spans="1:11" ht="30" x14ac:dyDescent="0.25">
      <c r="A39" s="21">
        <v>2</v>
      </c>
      <c r="B39" s="17" t="s">
        <v>41</v>
      </c>
      <c r="C39" s="50" t="s">
        <v>27</v>
      </c>
      <c r="D39" s="12" t="s">
        <v>12</v>
      </c>
      <c r="E39" s="22">
        <v>45716</v>
      </c>
      <c r="F39" s="52">
        <f>+G39+H39</f>
        <v>225.78368098454882</v>
      </c>
      <c r="G39" s="23">
        <f>I39/12.87737</f>
        <v>155.31121649839989</v>
      </c>
      <c r="H39" s="23">
        <f>907.5/12.87737</f>
        <v>70.472464486148951</v>
      </c>
      <c r="I39" s="57">
        <v>2000</v>
      </c>
      <c r="J39" s="15" t="s">
        <v>15</v>
      </c>
      <c r="K39" s="50" t="s">
        <v>42</v>
      </c>
    </row>
    <row r="40" spans="1:11" ht="30" x14ac:dyDescent="0.25">
      <c r="A40" s="21">
        <v>3</v>
      </c>
      <c r="B40" s="17" t="s">
        <v>73</v>
      </c>
      <c r="C40" s="20" t="s">
        <v>74</v>
      </c>
      <c r="D40" s="12" t="s">
        <v>53</v>
      </c>
      <c r="E40" s="24">
        <v>45691</v>
      </c>
      <c r="F40" s="23">
        <f>+G40+H40</f>
        <v>1226.7231612255923</v>
      </c>
      <c r="G40" s="23">
        <f>I40/12.957</f>
        <v>567.26094003241485</v>
      </c>
      <c r="H40" s="55">
        <f>8544.652/12.957</f>
        <v>659.46222119317736</v>
      </c>
      <c r="I40" s="26">
        <v>7350</v>
      </c>
      <c r="J40" s="15" t="s">
        <v>15</v>
      </c>
      <c r="K40" s="50" t="s">
        <v>75</v>
      </c>
    </row>
    <row r="41" spans="1:11" ht="15.75" x14ac:dyDescent="0.25">
      <c r="A41" s="75">
        <v>1</v>
      </c>
      <c r="B41" s="76" t="s">
        <v>108</v>
      </c>
      <c r="C41" s="77"/>
      <c r="D41" s="78"/>
      <c r="E41" s="79"/>
      <c r="F41" s="80">
        <f>F42</f>
        <v>3171.7764501013808</v>
      </c>
      <c r="G41" s="80">
        <f>G42</f>
        <v>2320.8120366595467</v>
      </c>
      <c r="H41" s="80">
        <f>H42</f>
        <v>850.96441344183381</v>
      </c>
      <c r="I41" s="80">
        <f>I42</f>
        <v>30000</v>
      </c>
      <c r="J41" s="81"/>
      <c r="K41" s="77"/>
    </row>
    <row r="42" spans="1:11" ht="30" x14ac:dyDescent="0.25">
      <c r="A42" s="21">
        <v>1</v>
      </c>
      <c r="B42" s="93" t="s">
        <v>107</v>
      </c>
      <c r="C42" s="20" t="s">
        <v>109</v>
      </c>
      <c r="D42" s="12" t="s">
        <v>12</v>
      </c>
      <c r="E42" s="94">
        <v>45736</v>
      </c>
      <c r="F42" s="23">
        <f>+G42+H42</f>
        <v>3171.7764501013808</v>
      </c>
      <c r="G42" s="23">
        <f>I42/12.92651</f>
        <v>2320.8120366595467</v>
      </c>
      <c r="H42" s="23">
        <f>11000/12.92651</f>
        <v>850.96441344183381</v>
      </c>
      <c r="I42" s="23">
        <v>30000</v>
      </c>
      <c r="J42" s="15" t="s">
        <v>15</v>
      </c>
      <c r="K42" s="50" t="s">
        <v>110</v>
      </c>
    </row>
    <row r="43" spans="1:11" x14ac:dyDescent="0.25">
      <c r="C43" s="7"/>
      <c r="D43" s="27"/>
      <c r="E43" s="28"/>
      <c r="F43" s="30"/>
      <c r="G43" s="29"/>
      <c r="H43" s="29"/>
      <c r="I43" s="29"/>
      <c r="J43" s="29"/>
      <c r="K43" s="31"/>
    </row>
    <row r="44" spans="1:11" x14ac:dyDescent="0.25">
      <c r="D44" s="27"/>
      <c r="E44" s="28"/>
      <c r="F44" s="29"/>
      <c r="G44" s="29"/>
      <c r="H44" s="29"/>
      <c r="I44" s="29"/>
      <c r="K44" s="31"/>
    </row>
    <row r="45" spans="1:11" s="4" customFormat="1" x14ac:dyDescent="0.25">
      <c r="A45" s="2"/>
      <c r="B45" s="3"/>
      <c r="E45" s="5"/>
      <c r="F45" s="29"/>
      <c r="G45" s="32"/>
      <c r="H45" s="33"/>
      <c r="I45" s="29"/>
    </row>
    <row r="46" spans="1:11" s="4" customFormat="1" x14ac:dyDescent="0.25">
      <c r="A46" s="2"/>
      <c r="B46" s="3"/>
      <c r="E46" s="5"/>
      <c r="F46" s="29"/>
      <c r="G46" s="32"/>
      <c r="H46" s="33"/>
      <c r="I46" s="29"/>
    </row>
    <row r="47" spans="1:11" s="4" customFormat="1" x14ac:dyDescent="0.25">
      <c r="A47" s="2"/>
      <c r="B47" s="3"/>
      <c r="E47" s="5"/>
      <c r="F47" s="29"/>
      <c r="G47" s="32"/>
      <c r="H47" s="33"/>
      <c r="I47" s="29"/>
    </row>
    <row r="48" spans="1:11" s="4" customFormat="1" x14ac:dyDescent="0.25">
      <c r="A48" s="2"/>
      <c r="B48" s="3"/>
      <c r="E48" s="5"/>
      <c r="F48" s="29"/>
      <c r="G48" s="32"/>
      <c r="H48" s="33"/>
      <c r="I48" s="29"/>
    </row>
    <row r="49" spans="1:11" s="4" customFormat="1" x14ac:dyDescent="0.25">
      <c r="A49" s="2"/>
      <c r="B49" s="3"/>
      <c r="E49" s="5"/>
      <c r="F49" s="29"/>
      <c r="G49" s="34"/>
      <c r="H49" s="35"/>
      <c r="I49" s="36"/>
      <c r="J49" s="33"/>
    </row>
    <row r="50" spans="1:11" s="4" customFormat="1" x14ac:dyDescent="0.25">
      <c r="A50" s="2"/>
      <c r="B50" s="3"/>
      <c r="E50" s="5"/>
      <c r="F50" s="29"/>
      <c r="G50" s="37"/>
      <c r="H50" s="33"/>
      <c r="I50" s="29"/>
    </row>
    <row r="51" spans="1:11" s="4" customFormat="1" x14ac:dyDescent="0.25">
      <c r="A51" s="2"/>
      <c r="B51" s="3"/>
      <c r="E51" s="5"/>
      <c r="F51" s="29"/>
      <c r="G51" s="34"/>
      <c r="H51" s="35"/>
      <c r="I51" s="29"/>
      <c r="J51" s="7"/>
    </row>
    <row r="52" spans="1:11" s="4" customFormat="1" x14ac:dyDescent="0.25">
      <c r="A52" s="2"/>
      <c r="B52" s="3"/>
      <c r="E52" s="5"/>
      <c r="G52" s="38"/>
      <c r="H52" s="39"/>
      <c r="I52" s="6"/>
      <c r="J52" s="7"/>
    </row>
    <row r="53" spans="1:11" s="4" customFormat="1" x14ac:dyDescent="0.25">
      <c r="A53" s="2"/>
      <c r="B53" s="3"/>
      <c r="E53" s="5"/>
      <c r="F53" s="40"/>
      <c r="G53" s="41"/>
      <c r="H53" s="35"/>
      <c r="I53" s="6"/>
      <c r="J53" s="36"/>
    </row>
    <row r="54" spans="1:11" x14ac:dyDescent="0.25">
      <c r="F54" s="40"/>
      <c r="G54" s="41"/>
      <c r="H54" s="42"/>
      <c r="I54" s="43"/>
      <c r="J54" s="36"/>
    </row>
    <row r="55" spans="1:11" x14ac:dyDescent="0.25">
      <c r="F55" s="40"/>
      <c r="G55" s="41"/>
      <c r="H55" s="42"/>
    </row>
    <row r="56" spans="1:11" x14ac:dyDescent="0.25">
      <c r="F56" s="40"/>
      <c r="G56" s="41"/>
      <c r="H56" s="42"/>
      <c r="I56" s="43"/>
      <c r="J56" s="44"/>
    </row>
    <row r="57" spans="1:11" x14ac:dyDescent="0.25">
      <c r="F57" s="40"/>
      <c r="G57" s="45"/>
      <c r="H57" s="46"/>
      <c r="I57" s="39"/>
      <c r="J57" s="39"/>
      <c r="K57" s="36"/>
    </row>
    <row r="58" spans="1:11" x14ac:dyDescent="0.25">
      <c r="F58" s="40"/>
      <c r="G58" s="45"/>
      <c r="H58" s="46"/>
      <c r="I58" s="39"/>
      <c r="J58" s="47"/>
      <c r="K58" s="36"/>
    </row>
    <row r="59" spans="1:11" x14ac:dyDescent="0.25">
      <c r="F59" s="40"/>
      <c r="G59" s="45"/>
      <c r="H59" s="46"/>
      <c r="I59" s="48"/>
      <c r="J59" s="39"/>
      <c r="K59" s="36"/>
    </row>
    <row r="60" spans="1:11" x14ac:dyDescent="0.25">
      <c r="F60" s="40"/>
      <c r="G60" s="45"/>
      <c r="H60" s="46"/>
      <c r="I60" s="43"/>
      <c r="J60" s="39"/>
      <c r="K60" s="36"/>
    </row>
    <row r="61" spans="1:11" x14ac:dyDescent="0.25">
      <c r="F61" s="49"/>
      <c r="G61" s="6"/>
      <c r="H61" s="43"/>
      <c r="I61" s="45"/>
      <c r="J61" s="39"/>
      <c r="K61" s="36"/>
    </row>
    <row r="62" spans="1:11" x14ac:dyDescent="0.25">
      <c r="H62" s="43"/>
      <c r="I62" s="44"/>
      <c r="J62" s="39"/>
      <c r="K62" s="36"/>
    </row>
    <row r="63" spans="1:11" x14ac:dyDescent="0.25">
      <c r="H63" s="43"/>
      <c r="K63" s="36"/>
    </row>
    <row r="64" spans="1:11" x14ac:dyDescent="0.25">
      <c r="K64" s="36"/>
    </row>
    <row r="65" spans="8:8" x14ac:dyDescent="0.25">
      <c r="H65" s="43"/>
    </row>
  </sheetData>
  <mergeCells count="1">
    <mergeCell ref="A1:K2"/>
  </mergeCells>
  <pageMargins left="0.7" right="0.7" top="0.75" bottom="0.75" header="0.3" footer="0.3"/>
  <pageSetup scale="34" orientation="portrait" horizontalDpi="300" verticalDpi="300" r:id="rId1"/>
  <colBreaks count="1" manualBreakCount="1">
    <brk id="11" max="1048575" man="1"/>
  </colBreaks>
  <ignoredErrors>
    <ignoredError sqref="F11 G11:H11 F37 F31:H31 F28:I28 F23 F21:I21 F18:I18 F15:I15 F12:H12 F10:I10 F8:I8 F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Afzalkhon Ikramov</dc:creator>
  <cp:lastModifiedBy>Nodir Rakhmonov</cp:lastModifiedBy>
  <dcterms:created xsi:type="dcterms:W3CDTF">2025-04-03T04:14:17Z</dcterms:created>
  <dcterms:modified xsi:type="dcterms:W3CDTF">2025-04-08T15:18:01Z</dcterms:modified>
</cp:coreProperties>
</file>