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filterPrivacy="1" defaultThemeVersion="124226"/>
  <xr:revisionPtr revIDLastSave="0" documentId="8_{B6B3654F-8A00-4FBF-BC1F-3BC228F28CEF}" xr6:coauthVersionLast="45" xr6:coauthVersionMax="45" xr10:uidLastSave="{00000000-0000-0000-0000-000000000000}"/>
  <bookViews>
    <workbookView xWindow="-120" yWindow="-120" windowWidth="29040" windowHeight="15720" xr2:uid="{00000000-000D-0000-FFFF-FFFF00000000}"/>
  </bookViews>
  <sheets>
    <sheet name="Лист1" sheetId="1" r:id="rId1"/>
    <sheet name="Лист2" sheetId="2" r:id="rId2"/>
  </sheets>
  <definedNames>
    <definedName name="_xlnm._FilterDatabase" localSheetId="0" hidden="1">Лист1!$A$4:$I$175</definedName>
    <definedName name="_xlnm.Print_Area" localSheetId="0">Лист1!$A$1:$I$175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8" i="1" l="1"/>
  <c r="H48" i="1"/>
  <c r="G49" i="1"/>
  <c r="H49" i="1"/>
  <c r="E172" i="1" l="1"/>
  <c r="E13" i="1" l="1"/>
  <c r="E14" i="1"/>
  <c r="H14" i="1" s="1"/>
  <c r="E17" i="1"/>
  <c r="G17" i="1" s="1"/>
  <c r="E18" i="1"/>
  <c r="H18" i="1" s="1"/>
  <c r="E20" i="1"/>
  <c r="H20" i="1" s="1"/>
  <c r="E21" i="1"/>
  <c r="G21" i="1" s="1"/>
  <c r="E22" i="1"/>
  <c r="H22" i="1" s="1"/>
  <c r="E24" i="1"/>
  <c r="G24" i="1" s="1"/>
  <c r="E26" i="1"/>
  <c r="H26" i="1" s="1"/>
  <c r="E27" i="1"/>
  <c r="G27" i="1" s="1"/>
  <c r="E30" i="1"/>
  <c r="H30" i="1" s="1"/>
  <c r="E31" i="1"/>
  <c r="G31" i="1" s="1"/>
  <c r="E33" i="1"/>
  <c r="H33" i="1" s="1"/>
  <c r="E34" i="1"/>
  <c r="H34" i="1" s="1"/>
  <c r="E35" i="1"/>
  <c r="G35" i="1" s="1"/>
  <c r="E38" i="1"/>
  <c r="H38" i="1" s="1"/>
  <c r="E40" i="1"/>
  <c r="G40" i="1" s="1"/>
  <c r="E41" i="1"/>
  <c r="G41" i="1" s="1"/>
  <c r="E42" i="1"/>
  <c r="H42" i="1" s="1"/>
  <c r="E43" i="1"/>
  <c r="G43" i="1" s="1"/>
  <c r="E46" i="1"/>
  <c r="H46" i="1" s="1"/>
  <c r="E50" i="1"/>
  <c r="G50" i="1" s="1"/>
  <c r="E51" i="1"/>
  <c r="G51" i="1" s="1"/>
  <c r="E53" i="1"/>
  <c r="H53" i="1" s="1"/>
  <c r="E55" i="1"/>
  <c r="G55" i="1" s="1"/>
  <c r="E56" i="1"/>
  <c r="H56" i="1" s="1"/>
  <c r="E59" i="1"/>
  <c r="G59" i="1" s="1"/>
  <c r="G60" i="1"/>
  <c r="E61" i="1"/>
  <c r="H61" i="1" s="1"/>
  <c r="E62" i="1"/>
  <c r="E63" i="1"/>
  <c r="G63" i="1" s="1"/>
  <c r="E64" i="1"/>
  <c r="H64" i="1" s="1"/>
  <c r="E65" i="1"/>
  <c r="H65" i="1" s="1"/>
  <c r="E68" i="1"/>
  <c r="G68" i="1" s="1"/>
  <c r="E70" i="1"/>
  <c r="G70" i="1" s="1"/>
  <c r="E71" i="1"/>
  <c r="G71" i="1" s="1"/>
  <c r="E74" i="1"/>
  <c r="H74" i="1" s="1"/>
  <c r="E76" i="1"/>
  <c r="G76" i="1" s="1"/>
  <c r="E77" i="1"/>
  <c r="G77" i="1" s="1"/>
  <c r="E78" i="1"/>
  <c r="H78" i="1" s="1"/>
  <c r="E81" i="1"/>
  <c r="G81" i="1" s="1"/>
  <c r="E83" i="1"/>
  <c r="G83" i="1" s="1"/>
  <c r="E84" i="1"/>
  <c r="G84" i="1" s="1"/>
  <c r="E85" i="1"/>
  <c r="G85" i="1" s="1"/>
  <c r="E86" i="1"/>
  <c r="G86" i="1" s="1"/>
  <c r="E87" i="1"/>
  <c r="G87" i="1" s="1"/>
  <c r="E90" i="1"/>
  <c r="G90" i="1" s="1"/>
  <c r="E92" i="1"/>
  <c r="G92" i="1" s="1"/>
  <c r="E93" i="1"/>
  <c r="G93" i="1" s="1"/>
  <c r="E96" i="1"/>
  <c r="H96" i="1" s="1"/>
  <c r="E98" i="1"/>
  <c r="G98" i="1" s="1"/>
  <c r="E99" i="1"/>
  <c r="H99" i="1" s="1"/>
  <c r="E100" i="1"/>
  <c r="H100" i="1" s="1"/>
  <c r="E101" i="1"/>
  <c r="G101" i="1" s="1"/>
  <c r="E104" i="1"/>
  <c r="H104" i="1" s="1"/>
  <c r="E106" i="1"/>
  <c r="G106" i="1" s="1"/>
  <c r="E107" i="1"/>
  <c r="H107" i="1" s="1"/>
  <c r="E108" i="1"/>
  <c r="G108" i="1" s="1"/>
  <c r="E111" i="1"/>
  <c r="G111" i="1" s="1"/>
  <c r="E113" i="1"/>
  <c r="H113" i="1" s="1"/>
  <c r="E114" i="1"/>
  <c r="G114" i="1" s="1"/>
  <c r="E117" i="1"/>
  <c r="G117" i="1" s="1"/>
  <c r="E119" i="1"/>
  <c r="G119" i="1" s="1"/>
  <c r="E120" i="1"/>
  <c r="H120" i="1" s="1"/>
  <c r="E123" i="1"/>
  <c r="E124" i="1"/>
  <c r="G124" i="1" s="1"/>
  <c r="E126" i="1"/>
  <c r="G126" i="1" s="1"/>
  <c r="E127" i="1"/>
  <c r="H127" i="1" s="1"/>
  <c r="E128" i="1"/>
  <c r="H128" i="1" s="1"/>
  <c r="E131" i="1"/>
  <c r="H131" i="1" s="1"/>
  <c r="E132" i="1"/>
  <c r="G132" i="1" s="1"/>
  <c r="E134" i="1"/>
  <c r="G134" i="1" s="1"/>
  <c r="E135" i="1"/>
  <c r="G135" i="1" s="1"/>
  <c r="E136" i="1"/>
  <c r="H136" i="1" s="1"/>
  <c r="E137" i="1"/>
  <c r="G137" i="1" s="1"/>
  <c r="E138" i="1"/>
  <c r="G138" i="1" s="1"/>
  <c r="E139" i="1"/>
  <c r="H139" i="1" s="1"/>
  <c r="E142" i="1"/>
  <c r="G142" i="1" s="1"/>
  <c r="E144" i="1"/>
  <c r="H144" i="1" s="1"/>
  <c r="H145" i="1"/>
  <c r="E148" i="1"/>
  <c r="E150" i="1"/>
  <c r="G150" i="1" s="1"/>
  <c r="E151" i="1"/>
  <c r="G151" i="1" s="1"/>
  <c r="E154" i="1"/>
  <c r="H154" i="1" s="1"/>
  <c r="E156" i="1"/>
  <c r="H156" i="1" s="1"/>
  <c r="E157" i="1"/>
  <c r="H157" i="1" s="1"/>
  <c r="E160" i="1"/>
  <c r="H160" i="1" s="1"/>
  <c r="E162" i="1"/>
  <c r="G162" i="1" s="1"/>
  <c r="E163" i="1"/>
  <c r="G163" i="1" s="1"/>
  <c r="E166" i="1"/>
  <c r="H166" i="1" s="1"/>
  <c r="E168" i="1"/>
  <c r="H168" i="1" s="1"/>
  <c r="E169" i="1"/>
  <c r="H169" i="1" s="1"/>
  <c r="E174" i="1"/>
  <c r="H174" i="1" s="1"/>
  <c r="E175" i="1"/>
  <c r="G175" i="1" s="1"/>
  <c r="E11" i="1"/>
  <c r="G11" i="1" s="1"/>
  <c r="G7" i="1"/>
  <c r="H7" i="1"/>
  <c r="G8" i="1"/>
  <c r="H8" i="1"/>
  <c r="G13" i="1"/>
  <c r="H13" i="1"/>
  <c r="G14" i="1"/>
  <c r="G107" i="1"/>
  <c r="G123" i="1"/>
  <c r="H123" i="1"/>
  <c r="G148" i="1"/>
  <c r="H148" i="1"/>
  <c r="G172" i="1"/>
  <c r="H172" i="1"/>
  <c r="H5" i="1"/>
  <c r="G5" i="1"/>
  <c r="G33" i="1" l="1"/>
  <c r="G56" i="1"/>
  <c r="H59" i="1"/>
  <c r="H163" i="1"/>
  <c r="G20" i="1"/>
  <c r="G46" i="1"/>
  <c r="H106" i="1"/>
  <c r="H162" i="1"/>
  <c r="G78" i="1"/>
  <c r="G30" i="1"/>
  <c r="H55" i="1"/>
  <c r="H132" i="1"/>
  <c r="G96" i="1"/>
  <c r="H124" i="1"/>
  <c r="H150" i="1"/>
  <c r="H108" i="1"/>
  <c r="H63" i="1"/>
  <c r="G131" i="1"/>
  <c r="G99" i="1"/>
  <c r="G61" i="1"/>
  <c r="G38" i="1"/>
  <c r="G64" i="1"/>
  <c r="H138" i="1"/>
  <c r="H114" i="1"/>
  <c r="H98" i="1"/>
  <c r="H77" i="1"/>
  <c r="G154" i="1"/>
  <c r="G156" i="1"/>
  <c r="G174" i="1"/>
  <c r="G22" i="1"/>
  <c r="H51" i="1"/>
  <c r="G65" i="1"/>
  <c r="G139" i="1"/>
  <c r="H135" i="1"/>
  <c r="H76" i="1"/>
  <c r="G166" i="1"/>
  <c r="H90" i="1"/>
  <c r="G26" i="1"/>
  <c r="G120" i="1"/>
  <c r="G42" i="1"/>
  <c r="G144" i="1"/>
  <c r="G100" i="1"/>
  <c r="H83" i="1"/>
  <c r="H41" i="1"/>
  <c r="H21" i="1"/>
  <c r="H142" i="1"/>
  <c r="H11" i="1"/>
  <c r="H68" i="1"/>
  <c r="H175" i="1"/>
  <c r="H119" i="1"/>
  <c r="G34" i="1"/>
  <c r="G127" i="1"/>
  <c r="H87" i="1"/>
  <c r="G74" i="1"/>
  <c r="G136" i="1"/>
  <c r="G18" i="1"/>
  <c r="H126" i="1"/>
  <c r="G160" i="1"/>
  <c r="H86" i="1"/>
  <c r="H151" i="1"/>
  <c r="H134" i="1"/>
  <c r="G128" i="1"/>
  <c r="H111" i="1"/>
  <c r="G104" i="1"/>
  <c r="H92" i="1"/>
  <c r="H84" i="1"/>
  <c r="H60" i="1"/>
  <c r="H40" i="1"/>
  <c r="H24" i="1"/>
  <c r="H17" i="1"/>
  <c r="G168" i="1"/>
  <c r="G53" i="1"/>
  <c r="H137" i="1"/>
  <c r="H101" i="1"/>
  <c r="H85" i="1"/>
  <c r="H81" i="1"/>
  <c r="H71" i="1"/>
  <c r="H70" i="1"/>
  <c r="H50" i="1"/>
  <c r="H43" i="1"/>
  <c r="H35" i="1"/>
  <c r="H31" i="1"/>
  <c r="H27" i="1"/>
  <c r="H117" i="1"/>
  <c r="H93" i="1"/>
  <c r="G169" i="1"/>
  <c r="G157" i="1"/>
  <c r="G145" i="1"/>
  <c r="G113" i="1"/>
  <c r="C386" i="2"/>
  <c r="C382" i="2"/>
  <c r="C378" i="2"/>
  <c r="C374" i="2"/>
  <c r="C370" i="2"/>
  <c r="C367" i="2"/>
  <c r="C365" i="2"/>
  <c r="C362" i="2"/>
  <c r="C360" i="2"/>
  <c r="C358" i="2"/>
  <c r="C352" i="2"/>
  <c r="C350" i="2"/>
  <c r="C348" i="2"/>
  <c r="C339" i="2"/>
  <c r="C337" i="2"/>
  <c r="C335" i="2" s="1"/>
  <c r="C331" i="2"/>
  <c r="C329" i="2"/>
  <c r="C327" i="2"/>
  <c r="C323" i="2"/>
  <c r="C319" i="2"/>
  <c r="C315" i="2"/>
  <c r="C311" i="2"/>
  <c r="C307" i="2"/>
  <c r="C304" i="2"/>
  <c r="C302" i="2"/>
  <c r="C298" i="2"/>
  <c r="C294" i="2"/>
  <c r="C292" i="2"/>
  <c r="C290" i="2"/>
  <c r="C288" i="2"/>
  <c r="C286" i="2" s="1"/>
  <c r="C282" i="2"/>
  <c r="C279" i="2"/>
  <c r="C277" i="2"/>
  <c r="C275" i="2"/>
  <c r="C271" i="2"/>
  <c r="C268" i="2"/>
  <c r="C267" i="2"/>
  <c r="C265" i="2"/>
  <c r="C259" i="2"/>
  <c r="C257" i="2"/>
  <c r="C255" i="2"/>
  <c r="C251" i="2"/>
  <c r="C249" i="2"/>
  <c r="C247" i="2"/>
  <c r="C244" i="2"/>
  <c r="C242" i="2" s="1"/>
  <c r="C240" i="2"/>
  <c r="C238" i="2"/>
  <c r="C235" i="2"/>
  <c r="C233" i="2"/>
  <c r="C231" i="2"/>
  <c r="C229" i="2"/>
  <c r="C227" i="2"/>
  <c r="C224" i="2"/>
  <c r="C222" i="2"/>
  <c r="C220" i="2"/>
  <c r="C219" i="2"/>
  <c r="C217" i="2"/>
  <c r="C216" i="2"/>
  <c r="C214" i="2"/>
  <c r="C212" i="2"/>
  <c r="C208" i="2"/>
  <c r="C204" i="2"/>
  <c r="C201" i="2"/>
  <c r="C199" i="2"/>
  <c r="C197" i="2"/>
  <c r="C185" i="2"/>
  <c r="C183" i="2"/>
  <c r="C181" i="2"/>
  <c r="C175" i="2"/>
  <c r="C173" i="2"/>
  <c r="C171" i="2"/>
  <c r="C166" i="2"/>
  <c r="C164" i="2"/>
  <c r="C162" i="2"/>
  <c r="C160" i="2"/>
  <c r="C147" i="2" s="1"/>
  <c r="C154" i="2"/>
  <c r="C148" i="2"/>
  <c r="C145" i="2"/>
  <c r="C143" i="2"/>
  <c r="C138" i="2"/>
  <c r="C137" i="2"/>
  <c r="C132" i="2"/>
  <c r="C129" i="2"/>
  <c r="C123" i="2" s="1"/>
  <c r="C127" i="2"/>
  <c r="C125" i="2"/>
  <c r="C124" i="2"/>
  <c r="C121" i="2"/>
  <c r="C119" i="2"/>
  <c r="C117" i="2"/>
  <c r="C114" i="2"/>
  <c r="C105" i="2" s="1"/>
  <c r="C103" i="2" s="1"/>
  <c r="C107" i="2"/>
  <c r="C100" i="2"/>
  <c r="C97" i="2"/>
  <c r="C94" i="2"/>
  <c r="C93" i="2"/>
  <c r="C91" i="2"/>
  <c r="C89" i="2" s="1"/>
  <c r="C78" i="2"/>
  <c r="C76" i="2"/>
  <c r="C74" i="2"/>
  <c r="C70" i="2"/>
  <c r="C73" i="2" s="1"/>
  <c r="C59" i="2"/>
  <c r="C57" i="2"/>
  <c r="C42" i="2" s="1"/>
  <c r="C47" i="2"/>
  <c r="C40" i="2"/>
  <c r="C38" i="2"/>
  <c r="C34" i="2"/>
  <c r="C33" i="2"/>
  <c r="C32" i="2"/>
  <c r="C30" i="2"/>
  <c r="C28" i="2"/>
  <c r="C26" i="2"/>
  <c r="C24" i="2"/>
  <c r="C16" i="2"/>
  <c r="C14" i="2"/>
  <c r="C12" i="2"/>
  <c r="C10" i="2"/>
  <c r="C8" i="2"/>
</calcChain>
</file>

<file path=xl/sharedStrings.xml><?xml version="1.0" encoding="utf-8"?>
<sst xmlns="http://schemas.openxmlformats.org/spreadsheetml/2006/main" count="757" uniqueCount="441">
  <si>
    <t>№</t>
  </si>
  <si>
    <t>Соғлиқни сақлаш вазирлиги</t>
  </si>
  <si>
    <t xml:space="preserve"> </t>
  </si>
  <si>
    <t>Rivojlantirish dasturi va maqsadli indikatorlar nomi</t>
  </si>
  <si>
    <t>O‘lchov birligi</t>
  </si>
  <si>
    <t>shundan: rivojlantirish dasturlariga ajratilgan mablag‘</t>
  </si>
  <si>
    <t>mlrd so‘m</t>
  </si>
  <si>
    <t>Dastur maqsadi: Bolalarni emlash kalendari bo‘yicha vaktsinatsiyalash orqali aholining epidemiologik barqarorligini ta'minlash</t>
  </si>
  <si>
    <t>Yakuniy natija ko‘rsatkichi</t>
  </si>
  <si>
    <t>Bevosita (to‘g‘ridan-to‘g‘ri) natija ko‘rsatkichi</t>
  </si>
  <si>
    <t>Feniketonuriya, gipotireoz aniqlangan chaqaloqlar coni</t>
  </si>
  <si>
    <t>Neonatal skriningdan o‘tkazilgan chaqaloqlar soni</t>
  </si>
  <si>
    <t>Homilasida tug‘ma nuqson aniqlangan homiladorlar soni</t>
  </si>
  <si>
    <t>Selektiv prenatal skriningdan  o‘tkaziladigan homilador ayollar soni</t>
  </si>
  <si>
    <r>
      <rPr>
        <b/>
        <sz val="10"/>
        <color rgb="FF000000"/>
        <rFont val="Times New Roman"/>
        <family val="1"/>
        <charset val="204"/>
      </rPr>
      <t>Dastur maqsadi: </t>
    </r>
    <r>
      <rPr>
        <sz val="10"/>
        <color rgb="FF000000"/>
        <rFont val="Times New Roman"/>
        <family val="1"/>
        <charset val="204"/>
      </rPr>
      <t>Aholi salomatligini mustahkamlash, ixtisoslashtirilgan tibbiy xizmatni aholiga yaqinlashtirish, bolalar, tug‘ish yoshidagi, homilador va bola emizuvchi ayollarni profilaktik maxsus preparatlar bilan bepul ta'minlash</t>
    </r>
  </si>
  <si>
    <t>Reproduktiv yoshdagi ayollar kamqonlik ko‘rsatgichi</t>
  </si>
  <si>
    <t>Reproduktiv yoshdagi ayollar soni</t>
  </si>
  <si>
    <t>Immunizatsiya milliy dasturiga asosan vaktsina bilan emlanadigan bolalar soni</t>
  </si>
  <si>
    <t>Dastur nomi: Onalar va chaqaloqlar salomatligini muhofaza qilish hamda aholining reproduktiv salomatligini yanada mustaxkamlash (PQ-296-son, 08.09.2023 y.)</t>
  </si>
  <si>
    <r>
      <t>Dastur maqsadi: </t>
    </r>
    <r>
      <rPr>
        <sz val="10"/>
        <color rgb="FF000000"/>
        <rFont val="Times New Roman"/>
        <family val="1"/>
        <charset val="204"/>
      </rPr>
      <t>Sog‘lom oilani shakllantirish, onalar va bolalar salomatligini muhofaza qilishda ilg‘or usullar va texnologiyalarni yo‘lga qo‘yish, tug‘ma hamda irsiy kasalliklarni erta prenatal va neonatal davrda aniqlash, bolalaro‘limi va tug‘ma nogironligining oldini olish</t>
    </r>
  </si>
  <si>
    <t>Dastur nomi: Bolalar, tug‘ish yoshidagi, homilador va bola emizuvchi ayollarni profilaktik maxsus preparatlar bilan bepul ta'minlash dasturi (PQ-5198-son, PQ-4887-son, 10.11.2020-y.)</t>
  </si>
  <si>
    <t>Dastur nomi: Onkologiya yordamini takomillashtirish va onkologiya xizmatini yanada rivojlantirish dasturi (PQ-5130-son, 27.05.2021- y.)</t>
  </si>
  <si>
    <r>
      <t>Dastur maqsadi: </t>
    </r>
    <r>
      <rPr>
        <sz val="10"/>
        <color rgb="FF000000"/>
        <rFont val="Times New Roman"/>
        <family val="1"/>
        <charset val="204"/>
      </rPr>
      <t>Gematologiya va onkologiya yo‘nalishlarida amalga oshirilayotgan islohotlarni izchil davom ettirish, mazkur sohada aholiga ko‘rsatilayotgan tibbiy xizmatlar sifati, ko‘lami va samaradorligini oshirish, bemorlar uchun qulay shart-sharoitlar yaratish hamda ularni zarur dori vositalari bilan uzluksiz ta'minlash, shifoxonalarni zamonaviy diagnostika laboratoriyalari va tibbiy texnikalar bilan jihozlash</t>
    </r>
  </si>
  <si>
    <t>Onkologik kasalliklarni I-II-bosqichlarda erta aniqlash ko‘rsatkichlari darajasi</t>
  </si>
  <si>
    <t>Onkologik bemorlarning 5 yillik yashovchanlik ko‘rsatkichi</t>
  </si>
  <si>
    <t>Kasallik erta aniqlangan bemorlar soni</t>
  </si>
  <si>
    <t>5 yil yashovchanlikka erishgan bemorlar soni</t>
  </si>
  <si>
    <t>Dastur nomi: Nefrologiya va gemodializ yordami ko‘rsatish dasturi (PQ-3846-son, 12.07.2018- y.)</t>
  </si>
  <si>
    <t>Gemodializ muolajasini olayotgan bemorlarni yashash davomiyligini uzaytirish</t>
  </si>
  <si>
    <t>Gemodializ muolajasini o‘tkazishga olinadigan tibbiy uskunalar soni</t>
  </si>
  <si>
    <t>Tuberkulyoz bilan kasallangan bemorlarning terapevtik yordam bilan qamrovi</t>
  </si>
  <si>
    <t>Tuberkulyoz tashxisi qo‘yilgan bemorlarni davolash samaradorligi</t>
  </si>
  <si>
    <t>Dastur nomi: Odamning immunitet tanqisligi virusi keltirib chiqaradigan kasalliklar tarqalishiga qarshi kurashish dasturi (PQ-14-son, 20.01.2023- y.)</t>
  </si>
  <si>
    <t>OIV-infektsiyasini profilaktika qilish va davolashda dori ta'minoti darajasi</t>
  </si>
  <si>
    <t>OIV-infektsiyasi bilan kasallangan bemorlarning umr davomiyligi</t>
  </si>
  <si>
    <t>OIV-infektsiyasini erta aniqlash ko‘rsatkichlarining darajasi</t>
  </si>
  <si>
    <t>OIV-infektsiyasi yuqishi ehtimoli bo‘lgan kontingent soni</t>
  </si>
  <si>
    <t>OIV-infektsiyasi bilan kasallangan bemorlar soni</t>
  </si>
  <si>
    <t>Dastur nomi: Har yili o‘rtacha 2500 ta okklyuger xarid qilish (PQ-5254-son, 04.10.2021- y.)</t>
  </si>
  <si>
    <r>
      <rPr>
        <b/>
        <sz val="10"/>
        <color rgb="FF000000"/>
        <rFont val="Times New Roman"/>
        <family val="1"/>
        <charset val="204"/>
      </rPr>
      <t xml:space="preserve">Dastur maqsadi: </t>
    </r>
    <r>
      <rPr>
        <sz val="10"/>
        <color rgb="FF000000"/>
        <rFont val="Times New Roman"/>
        <family val="1"/>
        <charset val="204"/>
      </rPr>
      <t>Bolalarga tug‘ma yurak nuqsonlarini endovaskulyar yo‘l bilan davolanishni keng joriy etish, ularni qisqa vaqt ichida to‘liq sog‘lomlashtirish,nogironlikdan chiqarish</t>
    </r>
  </si>
  <si>
    <t>Okklyuder qo‘llanilgan holda amalga oshirilgan operatsiyalar soni</t>
  </si>
  <si>
    <t>Dastur nomi: Aholining ruhiy salomatligini muhofaza qilish xizmatini yanada rivojlantirish (PQ-196-son, 19.06.2023- y.)</t>
  </si>
  <si>
    <r>
      <rPr>
        <b/>
        <sz val="10"/>
        <color rgb="FF000000"/>
        <rFont val="Times New Roman"/>
        <family val="1"/>
        <charset val="204"/>
      </rPr>
      <t xml:space="preserve">Dastur maqsadi: </t>
    </r>
    <r>
      <rPr>
        <sz val="10"/>
        <color rgb="FF000000"/>
        <rFont val="Times New Roman"/>
        <family val="1"/>
        <charset val="204"/>
      </rPr>
      <t>Ixtisoslashgan samarali va zamonaviy psixiatriya yordami tizimini shakllantirish, aholining ruhiy salomatligini ta'minlash</t>
    </r>
  </si>
  <si>
    <t>Psixologiya yordamiga muhtoj bemorlarni belgilangan tartibda dori vositalari bilan ta'minlash darajasi</t>
  </si>
  <si>
    <t>Psixiatriya dispanseri hisobida turganlar orasida nogironligi bo‘lgan shaxslar soni</t>
  </si>
  <si>
    <t>Dastur nomi: Neyrosensor karlik yoki zaif eshitadigan bolalarda koxlear implantatlardan foydalangan holda operatsiyalar o‘tkazish dasturi  (PQ-5217-son, 09.08.2021- y.)</t>
  </si>
  <si>
    <r>
      <t>Dastur maqsadi: </t>
    </r>
    <r>
      <rPr>
        <sz val="10"/>
        <color rgb="FF000000"/>
        <rFont val="Times New Roman"/>
        <family val="1"/>
        <charset val="204"/>
      </rPr>
      <t>Karlik yoki zaif eshitadigan bolalarni reabilitatsiya qilish, to‘laqonli hayot tarzini yuritishiga ko‘maklashish hamda imkoniyatlarini oshirish uchun ularni zamonaviy moslamalar va reabilitatsiya qilishning texnik vositalari bilan ta'minlash</t>
    </r>
  </si>
  <si>
    <t>Karlik yoki zaif eshitadigan bolalarni sog‘lomlashtirish darajasi</t>
  </si>
  <si>
    <t>Koxlear implontlarini o‘rnatish bo‘yicha o‘tkaziladigan operatsiyalar soni</t>
  </si>
  <si>
    <t>Dastur nomi: Onalar va bolalar, reproduktiv yoshdagi ayollar salomatligini ta'minlash uchun zarur dori va tibbiyot vositalari (K vitamini, surfaktant va boshqalar) bilan ta'minlash dasturi (PQ-5124-son, 25.05.2021- y.)</t>
  </si>
  <si>
    <r>
      <rPr>
        <b/>
        <sz val="10"/>
        <color theme="1"/>
        <rFont val="Times New Roman"/>
        <family val="1"/>
        <charset val="204"/>
      </rPr>
      <t>Dastur maqsadi:</t>
    </r>
    <r>
      <rPr>
        <sz val="10"/>
        <color theme="1"/>
        <rFont val="Times New Roman"/>
        <family val="1"/>
        <charset val="204"/>
      </rPr>
      <t xml:space="preserve"> Onalar va bolalar, reproduktiv yoshdagi ayollar salomatligini ta'minlash uchun zarur dori va tibbiyot vositalari  bilan qo‘shimcha  ta'minlash </t>
    </r>
  </si>
  <si>
    <r>
      <t xml:space="preserve">Go‘daklar o‘limi ko‘rsatgichi </t>
    </r>
    <r>
      <rPr>
        <i/>
        <sz val="10"/>
        <color theme="1"/>
        <rFont val="Times New Roman"/>
        <family val="1"/>
        <charset val="204"/>
      </rPr>
      <t>(mingta tirik tug‘ilgan chaqaloqqa nisbatan)</t>
    </r>
  </si>
  <si>
    <t>Tirik tug‘ilgan chaqaloqlarning surfaktant va boshqa dori vositalari bilan ta'minlanganlik darajasi</t>
  </si>
  <si>
    <t>Tirik tug‘ilgan chaqaloqlarning K vitamini bilan ta'minlanganlik darajasi</t>
  </si>
  <si>
    <t>Tirik tug‘ilgan chaqaloqlarning soni</t>
  </si>
  <si>
    <t>Dastur nomi: Otoripolaringologiya xizmatini takomillashtirish va uning qo‘lamini kengaytirishni yanada rivojlantirish (PQ-255-son, 01.08.2023- y.)</t>
  </si>
  <si>
    <r>
      <rPr>
        <b/>
        <sz val="10"/>
        <color theme="1"/>
        <rFont val="Times New Roman"/>
        <family val="1"/>
        <charset val="204"/>
      </rPr>
      <t>Dastur maqsadi:</t>
    </r>
    <r>
      <rPr>
        <sz val="10"/>
        <color theme="1"/>
        <rFont val="Times New Roman"/>
        <family val="1"/>
        <charset val="204"/>
      </rPr>
      <t xml:space="preserve"> Ixtisoslashgan samarali va zamonaviy otorinoloringologiya yordami tizimini shakllantirish, kasalliklar profilaktikasi va ularni barvaqt aniqlash choralarini yanada takomillashtirish, aholiga ixtisoslashgan yuqori malakali otorinoloringologiya yordamini ko‘rsatish sifati va imkoniyatlarini oshirish</t>
    </r>
  </si>
  <si>
    <t>Aholini LOR xizmati bilan qamrab olish</t>
  </si>
  <si>
    <t>Rejali skrining tadbirlarini amalga oshirish</t>
  </si>
  <si>
    <t>Yuqori texnologik jarroxlik amaliyotlarini kengaytirish</t>
  </si>
  <si>
    <r>
      <t>Dastur maqsadi:</t>
    </r>
    <r>
      <rPr>
        <sz val="10"/>
        <color rgb="FF000000"/>
        <rFont val="Times New Roman"/>
        <family val="1"/>
        <charset val="204"/>
      </rPr>
      <t> Buyrak va jigar transplantatsiyasi jarrohlik amaliyoti o‘tkazilgan bemorlarni immunosupressor dori vositalari bilan uzluksiz ta'minlash</t>
    </r>
  </si>
  <si>
    <t>Buyrak va jigar transplantatsiyasi jarrohlik amaliyoti o‘tkazilgan bemorlarga nisbatan dori vositalari bilan ta'minlash darajasi</t>
  </si>
  <si>
    <t>Buyrak va jigar transplantatsiyasi jarrohlik amaliyoti o‘tkazilgan bemorlar soni</t>
  </si>
  <si>
    <t>Dastur nomi: Buyrak va jigar transplantatsiyasi jarrohlik amaliyoti o‘tkazilgan bemorlarni dori vositalari bilan ta'minlash dasturi (VMQ-185-son, 01.03.2019 - y.)</t>
  </si>
  <si>
    <r>
      <t>Dastur maqsadi: </t>
    </r>
    <r>
      <rPr>
        <sz val="10"/>
        <color rgb="FF000000"/>
        <rFont val="Times New Roman"/>
        <family val="1"/>
        <charset val="204"/>
      </rPr>
      <t>Qon bilan ishlash xizmati faoliyatini muvofiqlashtirish, respublika bo‘yicha qon xizmati muassasalarida donor qoni va uning tarkibiy qismlarini to‘plash, tayyorlash, qayta ishlash, saqlash va ulardan foydalanishni tartibga solish hamda tibbiyot muassasalaridagi qon ta'minoti uzluksizligini ta'minlash</t>
    </r>
  </si>
  <si>
    <t>1000 nafar aholiga nisbatan qon donatsiyalari ko‘rsatgichi</t>
  </si>
  <si>
    <t>Qon zaxirasini ko‘paytirish</t>
  </si>
  <si>
    <t>Dastur nomi: Qon va uning komponentlarini yig‘ish, saqlash va yetkazish uchun bir martalik plastik konteynerlar sotib olish dastur (PQ-348-son, 09.08.2022- y.)</t>
  </si>
  <si>
    <t>Dastur nomi: Nogironligi bo‘lgan shaxslarga ko‘rsatilayotgan tibbiy-ijtimoiy xizmatlar sifatini yanada yaxshilash bo‘yicha chora-tadbirlarni moliyalashtirish uchun xarajatlar dasturi (PQ-5217-son, 09.08.2021- y.)</t>
  </si>
  <si>
    <r>
      <t>Dastur maqsadi: </t>
    </r>
    <r>
      <rPr>
        <sz val="10"/>
        <color rgb="FF000000"/>
        <rFont val="Times New Roman"/>
        <family val="1"/>
        <charset val="204"/>
      </rPr>
      <t>Nogironligi bo‘lgan shaxslar, ayniqsa, bolalarni reabilitatsiya qilish, to‘laqonli hayot tarzini yuritishiga ko‘maklashish hamda imkoniyatlarini oshirish uchun ularni zamonaviy protez-ortopediya moslamalari va reabilitatsiya qilishning texnik vositalari bilan ta'minlash</t>
    </r>
  </si>
  <si>
    <t>1000 nafar tirik tug‘ilganlarga nisbatan 5 yoshgacha bolalar   o‘lim koeffitsenti</t>
  </si>
  <si>
    <t>Tug‘ma yurak yetishmovchiligi aniqlangan (operatsiyaga muhtoj) bolalar soni</t>
  </si>
  <si>
    <t>Yurak yetishmovchiligi bo‘lgan bolalarda o‘tkazilgan operatsiyalar soni</t>
  </si>
  <si>
    <t>Gidrotsefaliyaga chalingan bolalar  soni</t>
  </si>
  <si>
    <t>Gidrotsefaliyaga chalingan bolalarni endoskopiya usuli bilan o‘tkazilgan jarrohlik amaliyoti soni</t>
  </si>
  <si>
    <t>Virusli gepatitlar bilan kasallangan bemorlar o‘rtasida jigar serrozi va gepatokarsinoma rivojlanishini erta aniqlash</t>
  </si>
  <si>
    <t xml:space="preserve"> Jigar serrozi va gepatokarsinoma rivojlanishini erta aniqlash</t>
  </si>
  <si>
    <t>Dastur nomi: Virusli gepatitning "S" va "V" turlarini erta aniqlash va virusga qarshi maxsus davolash ishlarini tashkil etish (PQ-243-son, 16.05.2022- y.)</t>
  </si>
  <si>
    <t>Gepatit "S" va "V" viruslarini  erta aniqlash maqsadida har yili aholini birlamchi tekshiruvlaridan o‘tkazish</t>
  </si>
  <si>
    <t>Birlamchi tekshiruvlarda virusli gepatitlar aniqlangan bemorlarni virusga qarshi bemorni yuqori texnologiyali tasdiqlovchi usul - PZR tekshiruvidan o‘tkazish</t>
  </si>
  <si>
    <t>Dastur nomi: Iqtidorli va malakali tibbiyot mutaxassislarini qo‘llab-quvvatlash hamda tibbiyot muassasalariga jalb qilish dasturi  (PF-6221-son, 05.05.2021- y.)</t>
  </si>
  <si>
    <r>
      <t>Dastur maqsadi: </t>
    </r>
    <r>
      <rPr>
        <sz val="10"/>
        <color rgb="FF000000"/>
        <rFont val="Times New Roman"/>
        <family val="1"/>
        <charset val="204"/>
      </rPr>
      <t>Sog‘likni saqlash tizimida olib borilayotgan islohatlarni izchil davom ettirish, aholi salomatligini saqlash borasida belgilangan ustuvor vazifalar ijrosini ta'minlash, tibbiyot xodimlarining salohiyatini oshirishuchun zarur shart-sharoitlar yaratish</t>
    </r>
  </si>
  <si>
    <t>Jalb qilingan iqtidorli va malakali xodimlarning sonining oshishi</t>
  </si>
  <si>
    <t>APF-III va PIVKA to‘plamlar yordamida jigar fibrozi gepatotsellyulyar karsinomanierta aniqlash amaliyotlarini o‘tkazish</t>
  </si>
  <si>
    <t>Dastur nomi: Bolalar tibbiyot va tug‘ruq muassasalarida yuqori texnologik laborator uskunalaridan to‘laqonli va samarali foydalanish maqsadida reagentlar, sarflov anjomlari hamda servis xizmatlar dasturi (PQ-5124-son, 25.05.2021- y.)</t>
  </si>
  <si>
    <r>
      <rPr>
        <b/>
        <sz val="10"/>
        <color rgb="FF000000"/>
        <rFont val="Times New Roman"/>
        <family val="1"/>
        <charset val="204"/>
      </rPr>
      <t xml:space="preserve">Dastur maqsadi: </t>
    </r>
    <r>
      <rPr>
        <sz val="10"/>
        <color rgb="FF000000"/>
        <rFont val="Times New Roman"/>
        <family val="1"/>
        <charset val="204"/>
      </rPr>
      <t>Bolalarga yuqori texnologik tibbiy yordam ko‘rsatish, jumladan o‘z vaqtida kasalliklarni  aniqlash uchun laborator tahlillar sifatini oshirish maqsadida Respublika ixtisoslashtirilgan pediatriya ilmiy-amaliy tibbiyot markazi va uning hududiy bolalar ko‘p tarmoqli tibbiyot markazlar negizidagi mintaqaviy filiallarida yuqori texnologik yordam ko‘rsatish</t>
    </r>
  </si>
  <si>
    <t>Bolalarda uchraydigan kasalliklarga yuqori texnologik laborator jixozlari erta va aniq qo‘yiladigan analizlar va tashxislar soni</t>
  </si>
  <si>
    <t>Dastur nomi: Spinal mushak atrofiyasi tashxisi qo‘yilgan bemor bolalarga tibbiy-ijtimoiy yordam ko‘rsatish va dori vositalarini bepul yetkazib berish xarajatlari (PQ-217-son, 25.04.2022- y.)</t>
  </si>
  <si>
    <r>
      <rPr>
        <b/>
        <sz val="10"/>
        <color theme="1"/>
        <rFont val="Times New Roman"/>
        <family val="1"/>
        <charset val="204"/>
      </rPr>
      <t>Dastur maqsadi:</t>
    </r>
    <r>
      <rPr>
        <sz val="10"/>
        <color theme="1"/>
        <rFont val="Times New Roman"/>
        <family val="1"/>
        <charset val="204"/>
      </rPr>
      <t xml:space="preserve"> Spinal mushak atrofiyasi tashxisi qo‘yilgan bemor bolalarning terapevtik yordam bilan qamrab olish</t>
    </r>
  </si>
  <si>
    <t>Spinal mushak atrofiyasi tashxisi qo‘yilgan bemor bolalarning terapevtik yordam bilan qamrab olinganligi</t>
  </si>
  <si>
    <t>Spinal mushak atrofiyasi tashxisi qo‘yilgan terapevtik yordam olgan bemor soni</t>
  </si>
  <si>
    <t>nafar</t>
  </si>
  <si>
    <t>foiz</t>
  </si>
  <si>
    <t>yil</t>
  </si>
  <si>
    <t>dona</t>
  </si>
  <si>
    <t>turlar soni</t>
  </si>
  <si>
    <t>son</t>
  </si>
  <si>
    <t>promile</t>
  </si>
  <si>
    <t>koeff</t>
  </si>
  <si>
    <t>litr</t>
  </si>
  <si>
    <t>NbsAg (virus antigeni)ni miqdoriy aniqlash amaliyotini o‘tkazish</t>
  </si>
  <si>
    <t>ming dona</t>
  </si>
  <si>
    <t>Dastur nomi: Bolalarni vaktsinalar bilan ta'minlash dasturi (VMQ-562-son, 22.11.1994 y.)</t>
  </si>
  <si>
    <t xml:space="preserve">Strategik maqsad: Aholi salomatligini saqlash va yaxshilashni, sog‘lom avlodni tarbiyalash uchun shart-sharoitlarni shakllantirishni, profilaktik sog‘liqni saqlashni rivojlantirish, sog‘lom turmush tarzini keng ommalashtirishni ta'minlovchi davlat siyosatini amalga oshirish, fuqarolar sog‘lig‘ini saqlashni ta'minlashga qaratilgan davlat dasturlari ijrosi </t>
  </si>
  <si>
    <t>Immunizatsiya milliy dasturiga asosan vaktsina bilan emlanadigan bolalarning qamrovi</t>
  </si>
  <si>
    <t>Endovaskulyar yo‘l bilantug‘ma yurak nuqsonlarini davolash orqali nogironlikdan chiqarilgan bolalar soni</t>
  </si>
  <si>
    <t>Bolalar ko‘p tprmoqli tibbiyot markazlarining qonning gematologik, kislota va ishqorlar, biokimyoviy, gemostaz tizimi holatini aniqlovchi yuqori texnologik qurilmasini zarur asbob-uskunalar, reagentlar bilan to‘liq ta'minlanganlik darajasi</t>
  </si>
  <si>
    <t>Har yili klinik va laboratoriya ko‘rsatma mavjud bo‘lgan gepatit "S" virusiga qarshi davolash</t>
  </si>
  <si>
    <t>2</t>
  </si>
  <si>
    <t>3</t>
  </si>
  <si>
    <t>фоиз</t>
  </si>
  <si>
    <t>нафар</t>
  </si>
  <si>
    <t>млрд сўм</t>
  </si>
  <si>
    <t>дона</t>
  </si>
  <si>
    <t>jalb qilinadigan iqtidorli va malakali tibbiyot mutaxassislar soni</t>
  </si>
  <si>
    <t>Dastur nomi: Sog‘liqni saqlash tizimidagi davlat tibbiyot muassasalariga kompьyuterlar, planshetlar, mulьtimedia va tarmoq qurilmalari, dasturiy ta'minotlarni xarid qilish hamda axborot-kommunikatsiya texnologiyalarini keng joriy qilish dasturi (PF-5590-son, PQ-4890-son)</t>
  </si>
  <si>
    <t>Dastur maqsadi: Elektron sog‘liqni saqlash sohasida yagona standartlar, tibbiy xizmatning integratsiyasini va samarali boshqarilishini ta'minlaydigan zamonaviy dasturiy mahsulotlar joriy etish</t>
  </si>
  <si>
    <t>Yaratilgan va joriy qilingan axborot tizimlari soni</t>
  </si>
  <si>
    <t>Kompyuter jihozlari va lokal tarmoqlariga ulangan tibbiyot muassasalari qamrovi</t>
  </si>
  <si>
    <t>Lokal tarmoqlariga ulangan tibbiyot muassasalari soni</t>
  </si>
  <si>
    <r>
      <t>Dastur maqsadi: </t>
    </r>
    <r>
      <rPr>
        <sz val="10"/>
        <color rgb="FF000000"/>
        <rFont val="Times New Roman"/>
        <family val="1"/>
        <charset val="204"/>
      </rPr>
      <t>Aholiga ixtisoslashtirilgan nefrologik va gemodializ tibbiy yordam ko‘rsatish tizimini yanada rivojlantirish hamda buyrak va jigar  transplantatsiyasi jarrohlik amaliyoti o‘tkazilgan bemorlarni immunosupressor dori vositalari bilan uzluksiz ta'minlash</t>
    </r>
  </si>
  <si>
    <r>
      <t xml:space="preserve">Dastur maqsadi: </t>
    </r>
    <r>
      <rPr>
        <sz val="10"/>
        <color rgb="FF000000"/>
        <rFont val="Times New Roman"/>
        <family val="1"/>
        <charset val="204"/>
      </rPr>
      <t>Aholi orasida ayrim infektsiyalarni o‘z vaqtida va profilaktika va diagnostika qilish, ularni davolash bo‘yicha aholiga ko‘rsatiladigan tibbiy-ijtimoiy yordamni yanada takmillashtirish va kengaytirish</t>
    </r>
  </si>
  <si>
    <r>
      <rPr>
        <b/>
        <sz val="12"/>
        <rFont val="Times New Roman"/>
        <family val="1"/>
        <charset val="204"/>
      </rPr>
      <t>Dastur maqsadi:</t>
    </r>
    <r>
      <rPr>
        <sz val="12"/>
        <rFont val="Times New Roman"/>
        <family val="1"/>
        <charset val="204"/>
      </rPr>
      <t> OIV-infektsiyasini o‘z vaqtida profilaktika va diagnostika qilish, uni davolash bo‘yicha amalga oshirilayotgan chora-tadbirlarni yanada kuchaytirish, bemorlarga tibbiy-ijtimoiy yordam ko‘rsatish sifatini oshirish, ularni statsionarda davolash ko‘lamini kengaytirish, shifoxona ichki infektsiyalari bilan kasallanish holatlarini kamaytirish</t>
    </r>
  </si>
  <si>
    <r>
      <rPr>
        <b/>
        <u/>
        <sz val="10"/>
        <rFont val="Times New Roman"/>
        <family val="1"/>
        <charset val="204"/>
      </rPr>
      <t>Dastur nomi:</t>
    </r>
    <r>
      <rPr>
        <b/>
        <sz val="10"/>
        <rFont val="Times New Roman"/>
        <family val="1"/>
        <charset val="204"/>
      </rPr>
      <t xml:space="preserve"> Ftiziatriya va pulmonologiya xizmatini yanada rivojlantirish hamda tuberkulyoz kasalligining oldini olish  (PQ-12-son, 20.01.2023- y.)
</t>
    </r>
    <r>
      <rPr>
        <b/>
        <u/>
        <sz val="10"/>
        <rFont val="Times New Roman"/>
        <family val="1"/>
        <charset val="204"/>
      </rPr>
      <t>Dastur maqsadi:</t>
    </r>
    <r>
      <rPr>
        <b/>
        <sz val="10"/>
        <rFont val="Times New Roman"/>
        <family val="1"/>
        <charset val="204"/>
      </rPr>
      <t xml:space="preserve"> Tuberkulyoz bilan kasallangan bemorlarni sifatli davolash hamda aholi orasida tarqalishining oldini olish</t>
    </r>
  </si>
  <si>
    <r>
      <rPr>
        <b/>
        <sz val="10"/>
        <rFont val="Times New Roman"/>
        <family val="1"/>
      </rPr>
      <t xml:space="preserve">Dastur maqsadi: </t>
    </r>
    <r>
      <rPr>
        <sz val="10"/>
        <rFont val="Times New Roman"/>
        <family val="1"/>
      </rPr>
      <t>Tuberkulyoz bilan kasallangan bemorlarni sifatli davolash hamda aholi orasida tarqalishining oldini olish</t>
    </r>
  </si>
  <si>
    <t>Dastur nomi: Endokrinologik kasalliklarning oldini olish, erta aniqlash va davolash chora-tadbirlariga ajratilgan mablag‘lar dasturi  (PQ-102-son, 26.01.2022- y.)</t>
  </si>
  <si>
    <r>
      <t>Dastur maqsadi: </t>
    </r>
    <r>
      <rPr>
        <sz val="10"/>
        <color rgb="FF000000"/>
        <rFont val="Times New Roman"/>
        <family val="1"/>
        <charset val="204"/>
      </rPr>
      <t>Ixtisoslashgan samarali va zamonaviy endokrinologiya yordami tizimini shakllantirish, qandli diabet va boshqa endokrin kasalliklar profilaktikasi va ularni barvaqt aniqlash choralarini yanada takomillashtirish, aholiga ixtisoslashgan yuqori malakali endokrinologiya yordamini ko‘rsatish sifati va imkoniyatlarini oshirish</t>
    </r>
  </si>
  <si>
    <t>Qandli diabetning 1 va 2-turi bilan kasallangan bemorlarni insulin preparatlari bilan ta'minlash darajasi</t>
  </si>
  <si>
    <t>2025 yil reja</t>
  </si>
  <si>
    <t xml:space="preserve">2025-yil uchun Oʻzbekiston Respublikasining respublika budjetidan birinchi darajali budjet mablagʻlarini taqsimlovchilariga ajratiladigan mablagʻlarning cheklangan miqdorlari </t>
  </si>
  <si>
    <t>mln so'm</t>
  </si>
  <si>
    <t>T/r</t>
  </si>
  <si>
    <t>Koʻrsatkichlar</t>
  </si>
  <si>
    <t>Summa</t>
  </si>
  <si>
    <t>1.</t>
  </si>
  <si>
    <t>Oʻzbekiston Respublikasi Maktabgacha va maktab taʼlimi vazirligi</t>
  </si>
  <si>
    <t>shu jumladan:</t>
  </si>
  <si>
    <t>joriy xarajatlar</t>
  </si>
  <si>
    <t xml:space="preserve">shundan: </t>
  </si>
  <si>
    <t>rivojlantirish dasturlari uchun xarajatlar</t>
  </si>
  <si>
    <t>umumiy oʻrta taʼlim muassasalarida darsliklarni yangilash bilan bogʻliq xarajatlar</t>
  </si>
  <si>
    <t xml:space="preserve">Taʼlim sohasidagi islohotlarga koʻmaklashish jamgʻarmasi mablagʻlarini shakllantirish </t>
  </si>
  <si>
    <t xml:space="preserve">Maktabgacha va maktab taʼlimi vaziri jamgʻarmasi mablagʻlarini shakllantirish </t>
  </si>
  <si>
    <t>maktablarda maʼnan eskirgan kompyuter sinflarini yangilash uchun xarajatlar</t>
  </si>
  <si>
    <t>Maktabgacha va maktab taʼlimi vazirligi tizimidagi muassasalarning sport jihozlari bilan taʼminlash uchun xarajatlar</t>
  </si>
  <si>
    <t>xorijiy oʻqituvchilarni jalb qilish xarajatlari</t>
  </si>
  <si>
    <t>umumtaʼlim maktablarini milliy cholgʻu asboblari bilan taʼminlash uchun xarajatlar</t>
  </si>
  <si>
    <t>Davlat maktabgacha taʼlim tashkilotlarini didaktik materiallar bilan taʼminlash</t>
  </si>
  <si>
    <t>Davlat maktabgacha taʼlim tashkilotlariga planshetlar harid qilish xarajatlari</t>
  </si>
  <si>
    <t>shu jumladan qayta taqsimlanadigan mablagʻlar:</t>
  </si>
  <si>
    <t xml:space="preserve">Umumtaʼlim maktablarida toʻgaraklarni tashkil etish va ularga “Kambagʻal oilalar reestri”ga kiritilgan oilalar farzandlarini jalb qilish uchun mablagʻlar </t>
  </si>
  <si>
    <t>davlat-xususiy sheriklik asosida tashkil etilgan maktabgacha taʼlim tashkilotlariga subsidiyalar</t>
  </si>
  <si>
    <t>obyektlarni loyihalashtirish, qurish (rekonstruksiya qilish) va jihozlash uchun kapital qoʻyilmalar</t>
  </si>
  <si>
    <t>2.</t>
  </si>
  <si>
    <t>Oʻzbekiston Respublikasi Oliy taʼlim, fan va innovatsiyalar vazirligi</t>
  </si>
  <si>
    <t>oliy taʼlim muassasalarining magistratura bosqichida oʻqiyotgan barcha xotin-qizlarning kontrakt toʻlovlarini qaytarish shartisiz qoplash uchun xarajatlar</t>
  </si>
  <si>
    <t>davlat-xususiy sheriklik va davlat oliy taʼlim muassasalarining buyurtmalari asosida talabalar turar joylarni barpo etish boʻyicha loyihalar uchun subsidiyalar</t>
  </si>
  <si>
    <t>davlat xususiy sheriklik asosida qurilgan talabalar turar joylarida yashaydigan talabalar uchun davlat sherigiga ajratiladigan subsidiyalar</t>
  </si>
  <si>
    <t>"Yoshlar daftari"ga kiritilgan yoshlarga ularning amaliyotni oʻtashi davrida bazaviy hisoblash miqdorining ikki baravari miqdorida beriladigan har oylik subsidiyalar</t>
  </si>
  <si>
    <t>Ilm-fanni moliyalashtirish va innovatsiyalarni qoʻllab-quvvatlash jamgʻarmasiga transfertlar</t>
  </si>
  <si>
    <t>3.</t>
  </si>
  <si>
    <t>Oʻzbekiston Respublikasi Sogʻliqni saqlash vazirligi</t>
  </si>
  <si>
    <t>bolalarni vaksinatsiya qilish bilan bogʻliq xarajatlar</t>
  </si>
  <si>
    <t>onalar va chaqaloqlar salomatligini muhofaza qilish hamda aholining reproduktiv salomatligini yanada mustahkamlash uchun xarajatlar</t>
  </si>
  <si>
    <t>bolalarni hamda tugʻish yoshidagi ayollarni, homilador ayollarni va bola emizuvchi onalarni profilaktik maxsus preparatlar bilan bepul taʼminlash uchun xarajatlar</t>
  </si>
  <si>
    <t>onkologiya yordamini takomillashtirish va onkologiya xizmatini yanada rivojlantirish uchun xarajatlar</t>
  </si>
  <si>
    <t>Onkologik, gematologik va immunologik kasalliklarga chalingan bolalarga tibbiy yordam koʻrsatish xarajatlari</t>
  </si>
  <si>
    <t>nefrologiya va gemodializ yordami koʻrsatish uchun xarajatlar</t>
  </si>
  <si>
    <t>endokrin kasalliklarning oldini olish, erta tashxislash va davolash chora-tadbirlarni moliyalashtirish uchun xarajatlar</t>
  </si>
  <si>
    <t>ftiziatriya va pulmonologiya xizmatini yanada rivojlantirish uchun xarajatlar</t>
  </si>
  <si>
    <t>odamning immunitet tanqisligi virusi keltirib chiqaradigan kasallik tarqalishiga qarshi kurashish tadbirlari xarajatlari</t>
  </si>
  <si>
    <t>Har yili 2 500 mingta okklyuder xarid qilish uchun xarajatlari</t>
  </si>
  <si>
    <t>aholining ruhiy salomatligini muhofaza qilish xizmatini rivojlantirish xarajatlari</t>
  </si>
  <si>
    <t>Nogironligi boʻlgan shaxslarga koʻrsatilayotgan tibbiy-ijtimoiy xizmatlar sifatini yanada yaxshilash boʻyicha chora-tadbirlarni moliyalashtirish uchun xarajatlar</t>
  </si>
  <si>
    <t>neyrosensor karlik yoki zaif eshitadigan bolalarda koxlear implantatlardan foydalangan holda operatsiyalar oʻtkazish uchun xarajatlar</t>
  </si>
  <si>
    <t>onalar va bolalar, reproduktiv yoshdagi ayollar salomatligini saqlash uchun zarur dori vositalari va tibbiy buyumlar (“K” vitamini, surfaktant va boshqalar) bilan taʼminlash uchun xarajatlar</t>
  </si>
  <si>
    <t>Otorinolaringologiya xizmatini rivojlantirish uchun xarajatlar</t>
  </si>
  <si>
    <t>buyrak va jigar transplantatsiyasi boʻyicha jarrohlik amaliyoti oʻtkazilgan bemorlarni dori vositalari bilan taʼminlash uchun xarajatlar</t>
  </si>
  <si>
    <t>qon komponentlari zaxirasini yaratish maqsadida qon bilan ishlash xizmati muassasalarini zarur miqdordagi gemokonteynerlar bilan taʼminlash uchun xarajatlar</t>
  </si>
  <si>
    <t>Ayollar orasida onkologik kassaliklarni nazorat qilish tizimini takomillashtirish dasturi xarajatlari</t>
  </si>
  <si>
    <t>virusli gepatitning "S" va "V" turlarini erta tashxislash va virusga qarshi maxsus davolash ishlarini tashkil etish uchun xarajatlar</t>
  </si>
  <si>
    <t>Allergik va ikkilamchi immunitet tanqisligi kasalliklariga chalingan "Ijtimoiy himoya yagona reestri"da boʻlgan bemorlarga ingalyatsion glyukokortikosteroid dori vositalarini bepul tarqatish xarajatlari</t>
  </si>
  <si>
    <t>Bolalarni qoʻllab-quvvatlash jamoat fondi mablagʻlarini shakllantirish</t>
  </si>
  <si>
    <t>bolalar tibbiyot va tugʻruq muassasalarida yuqori texnologik laborator uskunalaridan toʻlaqonli va samarali foydalanish maqsadida reagentlar, sarflov anjomlari hamda servis xizmatlari uchun xarajatlar</t>
  </si>
  <si>
    <t>Sirdaryo viloyati, Toshkent shahri va Qoraqalpogʻiston Respublikasi tibbiyot muassalarini tibbiy asbob-uskunalar, kompyuter texnikasi va boshqa texnik vositalar hamda lokal tarmoq bilan taʼminlash xarajatlari</t>
  </si>
  <si>
    <t>Tibbiyotni rivojlantirish davlat maqsadli jamgʻarmasiga transfert</t>
  </si>
  <si>
    <t xml:space="preserve">shu jumladan: </t>
  </si>
  <si>
    <t>"Spinal mushak atrofiyasi" tashxisi qoʻyilgan bemor bolalarga tibbiy-ijtimoiy yordam koʻrsatish va dori vositalarini bepul yetkazib berish uchun xarajatlar</t>
  </si>
  <si>
    <t>iqtidorli va malakali tibbiyot mutaxassislarini qoʻllab-quvvatlash hamda tibbiyot muassasalariga jalb qilish uchun xarajatlar</t>
  </si>
  <si>
    <t>sogʻliqni saqlash tizimidagi davlat tibbiyot muassasalariga kompyuterlar, planshetlar, multimedia va tarmoq qurilmalari, dasturiy taʼminotlarni xarid qilish hamda axborot-kommunikatsiya texnologiyalarini keng joriy qilish uchun xarajatlar</t>
  </si>
  <si>
    <t>Tibbiyotni rivojlantirish davlat maqsadli jamgʻarmasiga yuklatilgan vazifa va funksiyalarni amalga oshirish uchun ajratilgan mablagʻlar</t>
  </si>
  <si>
    <t>4.</t>
  </si>
  <si>
    <t>Oʻzbekiston Respublikasi Madaniyat vazirligi</t>
  </si>
  <si>
    <t>davlat buyurtmasiga asosan milliy kino mahsulotlarini yaratish uchun xarajatlar</t>
  </si>
  <si>
    <t>"Tirik tarix" dasturi doirasidagi filmlarni yaratish uchun xarajatlar</t>
  </si>
  <si>
    <t>milliy seriallar ishlab chiqarishni qoʻllab-quvvatlash va rivojlantirish uchun respublika miqyosida faoliyat yurituvchi telekanallarga ajratiladigan subsidiyalar</t>
  </si>
  <si>
    <t>Madaniyat vaziri jamgʻarmasi mablagʻlarini shakllantirish</t>
  </si>
  <si>
    <t>"Ipak yoʻli durdonasi" Toshkent xalqaro kinofestivalini oʻtkazish uchun xarajatlar</t>
  </si>
  <si>
    <t>bolalar musiqa va sanʼat maktablarini, madaniyat markazlarini milliy cholgʻu asboblari bilan taʼminlash uchun xarajatlar</t>
  </si>
  <si>
    <t>xorijiy kinokompaniyalar tomonidan Oʻzbekiston hududida kino ishlab chiqarish xarajatlarining bir qismini qoplash uchun xarajatlar</t>
  </si>
  <si>
    <t>Samarqand viloyatida ommaviy-madaniy tadbirlarni tashkil etish va oʻtkazish bilan bogʻliq xarajatlar</t>
  </si>
  <si>
    <t>5.</t>
  </si>
  <si>
    <t>Oʻzbekiston Respublikasi Sport vazirligi</t>
  </si>
  <si>
    <t>Olimpiya oʻyinlariga samarali tayyorgarlik koʻrish uchun xarajatlar</t>
  </si>
  <si>
    <t>Paralimpiya oʻyinlariga samarali tayyorgarlik koʻrish uchun xarajatlar</t>
  </si>
  <si>
    <t>sport va ommaviy jismoniy tarbiya tadbirlarining kalendar rejasiga kiritilgan tadbirlar uchun xarajatlar</t>
  </si>
  <si>
    <t>"Besh tashabbus olimpiadasi" doirasida oʻtkazilgan sport musobaqalarida gʻolib boʻlgan hamda sport infratuzilmasi rivojlanmagan mahallalarda sport maydonchalarini barpo etish uchun xarajatlar</t>
  </si>
  <si>
    <t>"Xalqaro Kurash assotsiatsiyasi" faoliyatini qoʻllab-quvvatlash uchun xarajatlar</t>
  </si>
  <si>
    <t>"Besh tashabbus olimpiadasi" doirasidagi sport musobaqalarini tizimli tashkil etish va oʻtkazish uchun xarajatlar</t>
  </si>
  <si>
    <t>sport maktablari tibbiyot xonalarini zamonaviy asbob-uskunalar, dori-darmon va tiklanish vositalari bilan jihozlash, zamonaviy oʻquv adabiyotini chop etish va xarid qilish, sport maktablari shugʻullanuvchilarini (terma jamoalarini) maxsus sport kiyimlari (ekipirovkalar) bilan taʼminlash uchun xarajatlar</t>
  </si>
  <si>
    <t>Oʻzbekiston futbolini qoʻllab-quvvatlash jamgʻarmasi mablagʻlarini shakllantirish</t>
  </si>
  <si>
    <t>6.</t>
  </si>
  <si>
    <t>Oʻzbekiston Respublikasi Qurilish va uy-joy kommunal xoʻjaligi vazirligi</t>
  </si>
  <si>
    <t>shaharsozlik norma va qoidalarini ishlab chiqish uchun xarajatlar</t>
  </si>
  <si>
    <t>Respublika hududida aholiga ichimlik suv tarmoqlarini uy xoʻjaligigacha yetkazish boʻyicha xarajatlar</t>
  </si>
  <si>
    <t>Issiqlik taʼminoti korxonalari qozonxona uskunalari va issiqlik tizimlarini taʼmirlash xarajatlari</t>
  </si>
  <si>
    <t>ichimlik suvi tizimlaridagi mavjud eskirgan nasos agregatlarni energiya tejamkor nasoslarga almashtirish xarajatlari</t>
  </si>
  <si>
    <t>Respublikadagi 1991-yilgacha qurilgan koʻp kvartirali uy-joy fondini pasportlashtirish xarajatlari</t>
  </si>
  <si>
    <t>issiqlik taʼminoti obyektlarini qurish, rekonstruksiya qilish va modernizatsiyalash uchun xarajatlar</t>
  </si>
  <si>
    <t>bosh reja, hududlarning arxitektura-rejalashtirish loyihalarini va batafsil rejalashtirish loyihalarini ishlab chiqish uchun xarajatlar</t>
  </si>
  <si>
    <t>Suv taʼminoti va kanalizatsiya tizimlarini rivojlantirish jamgʻarmasiga transfertlar</t>
  </si>
  <si>
    <t>7.</t>
  </si>
  <si>
    <t>Oʻzbekiston Respublikasi Qishloq xoʻjaligi vazirligi</t>
  </si>
  <si>
    <t>qishloq xoʻjaligida suv tejovchi texnologiyalarni joriy etish uchun subsidiyalar</t>
  </si>
  <si>
    <t>paxta va boshoqli don yetishtiruvchi fermer xoʻjaliklarining nasos agregatlari isteʼmol qiladigan elektr energiyasi xarajatini qoplash uchun subsidiyalar</t>
  </si>
  <si>
    <t>Chorvachilik mahsulotlarini yetishtiruvchi xoʻjaliklar tomonidan xorijiy davlatlardan import qilingan nasldor qoramol, qoʻy va echki, ona baliq va joʻjalarni sotib olish uchun xarajatlarining bir qismini qoplab berish uchun subsidiyalar</t>
  </si>
  <si>
    <t xml:space="preserve">qishloq xoʻjaligi yerlarining normativ qiymatini aniqlash va qayta baholash, tuproq bonitirovkasi va tuproq xaritalarining korrektirovkasini oʻtkazish, sugʻoriladigan yerlarda tuproq agrokimyoviy tadqiqot ishlarini bajarish va agrokimyoviy kartogrammalar tuzish, tuproq (yer) monitoringini oʻtkazish, yaylov yerlarini xatlovdan oʻtkazish va maydonlarning elektron xaritalarini ishlab chiqish xarajatlari </t>
  </si>
  <si>
    <t>uy hayvonlarini vaksinatsiya qilish uchun xarajatlar</t>
  </si>
  <si>
    <t>chigirtka va zararkunandalarga qarshi kurashish hamda favqulodda vaziyatlarda hosilni saqlab qolishni taʼminlash bilan bogʻliq, shu jumladan maxsus transportlar, texnika vositalari va kimyoviy preparatlar xarid qilish xarajatlari</t>
  </si>
  <si>
    <t>qishloq xoʻjaligiga moʻljallangan yerlarni xatlovdan oʻtkazish uchun xarajatlar</t>
  </si>
  <si>
    <t>Respublika hududidagi gidrografik obyektlarni raqamlashtirish va elektron xaritalarini yaratish uchun xarajatlar</t>
  </si>
  <si>
    <t>tut parvonasiga qarshi kurashish tadbirlari uchun xarajatlar</t>
  </si>
  <si>
    <t>Qoraqalpogʻiston Respublikasi qishloq xoʻjaligi korxonalarini lazerli qurilmaga ega tekislash agregatlari bilan taʼminlash uchun subsidiya</t>
  </si>
  <si>
    <t>boshoqli don ekin maydonlarini sugʻorish uchun qayta tiklanuvchi energiya manbalari hamda koʻchma generatorlar kabi uskunalarni sotib olish xarajatlarining bir qismini qoplab berish uchun subsidiyalar</t>
  </si>
  <si>
    <t>Meva-sabzavotchilik klasterlariga (kooperatsiyalarga) xorijdan malakali agronom, entomolog va laboratoriya mutaxassislarini jalb qilish xarajatlarining bir qismini qoplash xarajatlari</t>
  </si>
  <si>
    <t>Xorazm viloyatining sholi yetishtiruvchi subyektlariga lazerli qurilmaga ega yer tekislagich agregatlar bilan yer tekislash xarajatlari xamda sholi ekish seyalkalari va koʻchatlab ekish uskunasi uchun subsidiyalar</t>
  </si>
  <si>
    <t>qishloq xoʻjaligi bilan shugʻullanuvchi tumanlarning 2025 — 2030-yillarga moʻljallangan va loyihalashtirishdan oldin amalga oshiriladigan yer tuzish chizmalarini ishlab chiqish xarajatlari</t>
  </si>
  <si>
    <t>tuproqdagi gumus miqdorini oshirish xarajatlarining bir qismini qoplashga subsidiyalar</t>
  </si>
  <si>
    <t>Yaylov yerlarida shaxtali va tik quduqlar hamda nasos stansiyalarini qurish va rekonstruksiya qilishga sarflangan xarajatlarning bir qismini qoplash uchun subsidiyalar</t>
  </si>
  <si>
    <t>qishloq xoʻjaligi mahsulotlarini yetishtirishda biologik himoya usulini qoʻllash xarajatlarining bir qismini qoplab berish uchun subsidiyalar</t>
  </si>
  <si>
    <t>Agrosanoatni rivojlantirish va qoʻllab-quvvatlash davlat maqsadli jamgʻarmasiga transfertlar</t>
  </si>
  <si>
    <t>8.</t>
  </si>
  <si>
    <t>Oʻzbekiston Respublikasi Suv xoʻjaligi vazirligi</t>
  </si>
  <si>
    <t>paxta xom ashyosini yetishtiruvchilar tomonidan tomchilatib va diskret sugʻorish tizimini joriy etish xarajatlarining bir qismini qoplash uchun xarajatlar</t>
  </si>
  <si>
    <t>paxta maydonlarini sugʻorish uchun qayta tiklanuvchi energiya manbalari hamda koʻchma generatorlar kabi uskunalarni sotib olish xarajatlarining bir qismini qoplab berish uchun subsidiyalar</t>
  </si>
  <si>
    <t>suv xoʻjaligi tizimidagi tik sugʻorish quduqlariga suv oʻlchash uskunalarini oʻrnatish tadbirlari uchun mablagʻlar</t>
  </si>
  <si>
    <t>Amudaryoning Surxondaryo va Xorazm viloyatlari hamda Qoraqalpogʻiston Respublikasi hududidan oqib oʻtgan qismida faoliyat yuritayotgan “Suv yoʻllari texnik uchastkasi” davlat muassasalarining moddiy-texnika bazasini mustahkamlash uchun ajratilgan mablagʻlar</t>
  </si>
  <si>
    <t>nasos stansiyalarida energiya tejamkor uskunalarni oʻrnatish tadbirlari uchun xarajatlar</t>
  </si>
  <si>
    <t>suv xoʻjaligi tizimidagi nasos stansiyalarining elektr energiyasi xarajatlarini qoplash uchun xarajatlar</t>
  </si>
  <si>
    <t>davlat-xususiy sheriklik shartlari asosida amalga oshiriladigan loyihalar doirasida davlat sherigining xarajatlari</t>
  </si>
  <si>
    <t xml:space="preserve">obyektlarni ekspluatatsiya qilish va (yoki) obyektga xizmat koʻrsatish davrida davlat-xusisiy sheriklik obyektlaridan erkin foydalanilishi uchun toʻlovlar, shuningdek joriy taʼmirlash va xizmat koʻrsatish xarajatlari </t>
  </si>
  <si>
    <t>nasos stansiyalarining elektr energiyasi xarajatlarini qoplash</t>
  </si>
  <si>
    <t>suv xoʻjaligi sohasini raqamlashtirish tadbirlari uchun ajratilgan mablagʻlar</t>
  </si>
  <si>
    <t>suv fondi yerlarini davlat roʻyxatidan oʻtkazish uchun xarajatlar</t>
  </si>
  <si>
    <t>9.</t>
  </si>
  <si>
    <t>Oʻzbekiston Respublikasi Energetika vazirligi</t>
  </si>
  <si>
    <t>Energetika vazirligi huzuridagi Tarmoqlararo energiyani tejash jamgʻarmasiga muqobil energiya uskunalarini oʻrnatgan aholi va tadbirkorlik subyektlariga kompensatsiya toʻlovlari uchun mablagʻlar</t>
  </si>
  <si>
    <t>jismoniy shaxslarga tegishli obyektlarda oʻrnatilgan quyosh panellarida ishlab chiqarilgan va oʻz isteʼmolidan orttirib yagona elektr energetika tizimiga uzatilgan elektr energiyasini sotib olish uchun subsidiya</t>
  </si>
  <si>
    <t>"Yashil" isteʼmol krediti boʻyicha foiz toʻlovlarning bir qismini qoplab berish xarajatlari</t>
  </si>
  <si>
    <t>10.</t>
  </si>
  <si>
    <t>Oʻzbekiston Respublikasi Transport vazirligi</t>
  </si>
  <si>
    <t>aviatashuvchilarga mahalliy yoʻnalishlardagi aviaqatnovlar uchun chipta narxining bir qismini qoplash uchun subsidiyalar</t>
  </si>
  <si>
    <t>temir yoʻl va aviatashuvchilar tomonidan Qoraqalpogʻiston Respublikasi va Xorazm viloyatida yashovchi pensiyanerlar, nafaqa oluvchilar hamda nogironligi boʻlgan shaxslarga 50 foizlik imtiyoz bilan sotilgan chiptalar zararini qoplash uchun subsidiyalar</t>
  </si>
  <si>
    <t>Fargʻona shahridan Soʻx tumaniga kichik aviatsiya transporti qatnovi boʻyicha koʻrilgan zararlarni qoplash uchun subsidiyalar</t>
  </si>
  <si>
    <t>Avtomobil yoʻllarini rivojlantirish maqsadli jamgʻarmasiga transfertlar</t>
  </si>
  <si>
    <t>11.</t>
  </si>
  <si>
    <t>Oʻzbekiston Respublikasi Ekologiya, atrof-muhitni muhofaza qilish va iqlim oʻzgarishi vazirligi</t>
  </si>
  <si>
    <t>hayvonot va oʻsimlik dunyosi, muhofaza etiladigan tabiiy hududlar va chiqindilarni utilizatsiya qilish joylarining davlat kadastrlarini yuritish uchun xarajatlar</t>
  </si>
  <si>
    <t>cugʻoriladigan yerlarni shamol eroziyasiga va suv xoʻjaligi obyektlarini qum bosishiga qarshi ihota daraxtzorlari barpo etish uchun xarajatlar</t>
  </si>
  <si>
    <t>Oʻrmon xoʻjaligi agentligining maxsus texnikalar xaridi xarajatlari</t>
  </si>
  <si>
    <t>"Yashil makon" umummilliy loyihasi doirasidagi xarajatlar</t>
  </si>
  <si>
    <t>Samarqand shahrida yoʻq boʻlib ketish xavfi ostidagi yovvoyi fauna va flora turlarining xalqaro savdosi toʻgʻrisidagi konvensiyasi boʻyicha 20-yigʻilish tadbirlarini oʻtkazish xarajatlari</t>
  </si>
  <si>
    <t>investorlar tomonidan yoʻlovchi tashuvchi yangi dor yoʻllarini qurish va jihozlash uchun yoʻnaltirgan xarajatlarini bir qismini qoplab berish uchun xarajatlar</t>
  </si>
  <si>
    <t>har ikki yilda bir marotaba Xalqaro "Oʻzbekiston ipak matolari" moda haftaligini oʻtkazish xarajatlari</t>
  </si>
  <si>
    <t>sanitar tozalash ishlarini tashkil etish va aholi punktlarida tozalikni taʼminlash bilan bogʻliq xarajatlar</t>
  </si>
  <si>
    <t>Turizmni qoʻllab-quvvatlash jamgʻarmasiga transfertlar</t>
  </si>
  <si>
    <t>12.</t>
  </si>
  <si>
    <t>Oʻzbekiston Respublikasi Togʻ-kon sanoati va geologiya vazirligi</t>
  </si>
  <si>
    <t>geologiya qidiruv ishlariga subsidiyalar</t>
  </si>
  <si>
    <t>13.</t>
  </si>
  <si>
    <t>Oʻzbekiston Respublikasi Raqobatni rivojlantirish va isteʼmolchilar huquqlarini himoya qilish qoʻmitasi</t>
  </si>
  <si>
    <t>14.</t>
  </si>
  <si>
    <t>Oʻzbekiston Respublikasi Davlat aktivlarini boshqarish agentligi</t>
  </si>
  <si>
    <t>15.</t>
  </si>
  <si>
    <t>Oʻzbekiston Respublikasi Kambagʻallikni qisqartirish va bandlik vazirligi</t>
  </si>
  <si>
    <t>hokim yordamchilari faoliyatini qoʻllab-quvvatlash jamgʻarmasi mablagʻlarini shakllantirish</t>
  </si>
  <si>
    <t>Bandlikka koʻmaklashish davlat jamgʻarmasiga transfertlar</t>
  </si>
  <si>
    <t>16.</t>
  </si>
  <si>
    <t>Oʻzbekiston Respublikasi Prezidenti huzuridagi Statistika agentligi</t>
  </si>
  <si>
    <t>aholini roʻyxatdan oʻtkazish ishlarini amalga oshirish uchun xarajatlar</t>
  </si>
  <si>
    <t>17.</t>
  </si>
  <si>
    <t>Oʻzbekiston Respublikasi Tashqi ishlar vazirligi</t>
  </si>
  <si>
    <t>Oʻzbekiston Respublikasining xorijdagi diplomatik vakolatxonalari va konsullik muassasalarini saqlash xarajatlar</t>
  </si>
  <si>
    <t>konsullik yigʻimlaridan shakllanadigan mablagʻlar*</t>
  </si>
  <si>
    <t>Oʻzbekiston Respublikasining respublika byudjeti mablagʻlari</t>
  </si>
  <si>
    <t>Oʻzbekiston Respublikasi delegatsiyalarining xorijiy mamlakatlarga tashriflarini hamda chet el delegatsiyalarini, davlat va siyosiy arboblarini qabul qilish bilan bogʻliq xarajatlar</t>
  </si>
  <si>
    <t>18.</t>
  </si>
  <si>
    <t>Oʻzbekiston Respublikasi Investitsiyalar, sanoat va savdo vazirligi</t>
  </si>
  <si>
    <t>Savdoga koʻmaklashish jamgʻarmasi mablagʻlarini shakllantirish</t>
  </si>
  <si>
    <t xml:space="preserve">Sanoatni rivojlantirish jamgʻarmasi mablagʻlarini shakllantirish </t>
  </si>
  <si>
    <t>19.</t>
  </si>
  <si>
    <t>Oʻzbekiston Respublikasi Raqamli texnologiyalar vazirligi</t>
  </si>
  <si>
    <t>yoshlarning xalqaro IT sertifikatlarini olish boʻyicha xarajatlarining bir qismini qoplash uchun xarajatlar</t>
  </si>
  <si>
    <t>"Obuna" yagona elektron platformasi orqali bosma nashrlarga obuna narxining bir qismini qaytarish (Cashback) xarajatlari</t>
  </si>
  <si>
    <t>20.</t>
  </si>
  <si>
    <t>Oʻzbekiston Respublikasi Adliya vazirligi</t>
  </si>
  <si>
    <t>21.</t>
  </si>
  <si>
    <t xml:space="preserve">Oʻzbekiston Respublikasi Soliq qoʻmitasi </t>
  </si>
  <si>
    <t>22.</t>
  </si>
  <si>
    <t>Oʻzbekiston Milliy teleradiokompaniyasi</t>
  </si>
  <si>
    <t>futbol musobaqalarini yoritish uchun koʻchma televizion stansiyasini sotib olish xarajatlari</t>
  </si>
  <si>
    <t>"Oʻzbekiston 24" va "Mahalla" teleradiokanallarini respublika hududida efirga uzatishni toʻliq HD formatga oʻtkazish xarajatlari</t>
  </si>
  <si>
    <t>23.</t>
  </si>
  <si>
    <t>Oʻzbekiston Milliy axborot agentligi</t>
  </si>
  <si>
    <t>24.</t>
  </si>
  <si>
    <t>Respublika Maʼnaviyat va maʼrifat markazi</t>
  </si>
  <si>
    <t>Maʼnaviyat va ijodni qoʻllab-quvvatlash maqsadli jamgʻarmasiga byudjetdan ajratiladigan mablagʻlar</t>
  </si>
  <si>
    <t>25.</t>
  </si>
  <si>
    <t>Inson huquqlari boʻyicha Oʻzbekiston Respublikasi Milliy markazi</t>
  </si>
  <si>
    <t>26.</t>
  </si>
  <si>
    <t>Oʻzbekiston Kasaba uyushmalari Federatsiyasi Kengashi</t>
  </si>
  <si>
    <t>27.</t>
  </si>
  <si>
    <t>Oʻzbekiston Respublikasi Fanlar akademiyasi</t>
  </si>
  <si>
    <t>28.</t>
  </si>
  <si>
    <t>Oʻzbekiston Respublikasi Badiiy akademiyasi</t>
  </si>
  <si>
    <t>29.</t>
  </si>
  <si>
    <t>Oʻzbekiston Respublikasi Korrupsiyaga qarshi kurashish agentligi</t>
  </si>
  <si>
    <t>30.</t>
  </si>
  <si>
    <t>Oʻzbekiston Respublikasi Prezidenti huzuridagi Davlat xizmatini rivojlantirish agentligi</t>
  </si>
  <si>
    <t>"El-yurt umidi" jamgʻarmasiga transfertlar</t>
  </si>
  <si>
    <t>31.</t>
  </si>
  <si>
    <t>Oʻzbekiston Respublikasi Prezidenti huzuridagi Strategik islohotlar agentligi</t>
  </si>
  <si>
    <t>32.</t>
  </si>
  <si>
    <t>"Sogʻlom avlod uchun" hukumatga qarashli boʻlmagan xalqaro xayriya jamgʻarmasi</t>
  </si>
  <si>
    <t>33.</t>
  </si>
  <si>
    <t>Respublika bolalar ijtimoiy moslashuvi markazi</t>
  </si>
  <si>
    <t>34.</t>
  </si>
  <si>
    <t>Oʻzbekiston Respublikasi Milliy antidoping agentligi</t>
  </si>
  <si>
    <t>35.</t>
  </si>
  <si>
    <t>Oʻzbekiston Respublikasi Din ishlari boʻyicha qoʻmitasi</t>
  </si>
  <si>
    <t>36.</t>
  </si>
  <si>
    <t>Oʻzbekiston Respublikasi Madaniy meros agentligi</t>
  </si>
  <si>
    <t>madaniy meros obyektlarini restavratsiya qilish va tiklash, shuningdek arxeologik ishlar uchun xarajatlar</t>
  </si>
  <si>
    <t>davlat muzeylarining moddiy-texnika bazasini mustahkamlash uchun xarajatlar</t>
  </si>
  <si>
    <t>37.</t>
  </si>
  <si>
    <t>Oʻzbekiston Respublikasi Prezidenti huzuridagi Ijtimoiy himoya milliy agentligi</t>
  </si>
  <si>
    <t>kam taʼminlangan oilalarga bolalar nafaqalari va moddiy yordamlar toʻlash uchun ajratilgan mablagʻlar</t>
  </si>
  <si>
    <t>nogironligi boʻlgan bolalarni parvarishlayotgan onalar uchun nafaqalarni toʻlash uchun ajratilgan mablagʻlar</t>
  </si>
  <si>
    <t>mehnatga layoqatsiz va zarur ish stajiga ega boʻlmagan fuqarolarga nafaqalar uchun ajratilgan mablagʻlar</t>
  </si>
  <si>
    <t>bola tugʻilishi uchun beriladigan nafaqalar (suyunchi puli)ni toʻlash uchun ajratilgan mablagʻlar</t>
  </si>
  <si>
    <t>dafn marosimi xarajatlarini qoplash uchun ajratilgan mablagʻlar</t>
  </si>
  <si>
    <t>muhtoj shaxslarni protez-ortopediya moslamalari va reabilitatsiya qilishning texnik vositalari bilan taʼminlash xarajatlari</t>
  </si>
  <si>
    <t>Qoraqalpogʻiston Respublikasi va Xorazm viloyatidagi muxtoj oilalarga bir marta beriladigan moddiy yordam toʻlash xarajatlari</t>
  </si>
  <si>
    <t>yetim bolalar va ota-ona qaramogʻidan mahrum boʻlgan bolalarni uy-joy bilan taʼminlash uchun xarajatlar</t>
  </si>
  <si>
    <t>38.</t>
  </si>
  <si>
    <t>Oʻzbekiston Respublikasi Yoshlar ishlari agentligi</t>
  </si>
  <si>
    <t>Yoshlarga oid davlat siyosatini amalga oshirishni kengaytirish va yoshlarni yanada qoʻllab-quvvatlash hamda subsidiyalar uchun mablagʻlar</t>
  </si>
  <si>
    <t>2026-yil Oʻzbekistonda boʻlib oʻtadigan 46-butunjahon shaxmat olimpiadasiga kompleks tayyorgarlik koʻrish uchun xarajatlar</t>
  </si>
  <si>
    <t>Jahonda mashhur boʻlgan kitoblarni tarjima qilish, nashrga tayyorlash va chop etish xarajatlari</t>
  </si>
  <si>
    <t>"Zakovat" intellektual klubi xarajatlari</t>
  </si>
  <si>
    <t>39.</t>
  </si>
  <si>
    <t>Oʻzbekiston Respublikasi Vazirlar Mahkamasi huzuridagi Oʻzbekiston texnik jihatdan tartibga solish agentligi</t>
  </si>
  <si>
    <t>etalonlar va yuqori aniqlikdagi oʻlchash vositalarini xarid qilish uchun xarajatlar</t>
  </si>
  <si>
    <t>40.</t>
  </si>
  <si>
    <t>Oʻzbekiston Respublikasi Oila va xotin-qizlar qoʻmitasi</t>
  </si>
  <si>
    <t>Oila va xotin-qizlarni qoʻllab-quvvatlash davlat maqsadli jamgʻarmasiga transfertlar</t>
  </si>
  <si>
    <t>41.</t>
  </si>
  <si>
    <t>Oʻzbekiston Respublikasi Vazirlar Mahkamasi huzuridagi Sanoat, radiatsiya va yadro xavfsizligi qoʻmitasi</t>
  </si>
  <si>
    <t>42.</t>
  </si>
  <si>
    <t>Oʻzbekiston Respublikasi Vazirlar Mahkamasi huzuridagi Atom energiyasi agentligi</t>
  </si>
  <si>
    <t>43.</t>
  </si>
  <si>
    <t>Oʻzbekiston Respublikasi Energetika bozorini rivojlantirish va tartibga solish agentligi</t>
  </si>
  <si>
    <t>44.</t>
  </si>
  <si>
    <t>Oʻzbekiston Respublikasi Vazirlar Mahkamasi huzuridagi Elektr energiyasi, neft mahsulotlari va gazdan foydalanishni nazorat qilish inspeksiyasi</t>
  </si>
  <si>
    <t>45.</t>
  </si>
  <si>
    <t>Oʻzbekiston Respublikasi Vazirlar Mahkamasi huzuridagi Agrosanoat majmui ustidan nazorat qilish inspeksiyasi</t>
  </si>
  <si>
    <t xml:space="preserve">Gemodializ muolajasiga muhtoj bemorlar soni </t>
  </si>
  <si>
    <t>Gemodializ muolajasini  o‘tkazishga sarflanadigan materiallar soni</t>
  </si>
  <si>
    <t>12-15</t>
  </si>
  <si>
    <t>Psixiatriya yordami ko‘rsatuvchi statsionar muassasalarida bir yil ichida davolanishga takror yotqizilgani</t>
  </si>
  <si>
    <t>Dastur nomi: Ayollar orasida onkologik kasalliklarni nazorat qilish tizimini takomillashtirish dasturi</t>
  </si>
  <si>
    <r>
      <t>Dastur maqsadi: </t>
    </r>
    <r>
      <rPr>
        <sz val="10"/>
        <color rgb="FF000000"/>
        <rFont val="Times New Roman"/>
        <family val="1"/>
        <charset val="204"/>
      </rPr>
      <t>Aholi salomatligini mustahkamlash, ayollarda onkologik kasalliklarni barvaqt aniqlash</t>
    </r>
  </si>
  <si>
    <r>
      <t xml:space="preserve">Ko‘krak bezi saratoni erta aniqlangan ayollar ulushi </t>
    </r>
    <r>
      <rPr>
        <i/>
        <sz val="10"/>
        <color rgb="FF000000"/>
        <rFont val="Times New Roman"/>
        <family val="1"/>
        <charset val="204"/>
      </rPr>
      <t>(ko‘krak bezi saratoni bilan jami ro‘yxatda turgan bemorlar soniga nisbatan)</t>
    </r>
  </si>
  <si>
    <r>
      <t xml:space="preserve">Bachadon bo‘yni saratoni erta aniqlangan ayollar ulushi </t>
    </r>
    <r>
      <rPr>
        <i/>
        <sz val="10"/>
        <color rgb="FF000000"/>
        <rFont val="Times New Roman"/>
        <family val="1"/>
        <charset val="204"/>
      </rPr>
      <t>(bachadon bo‘yni bilan jami ro‘yxatda turgan bemorlar soniga nisbatan)</t>
    </r>
  </si>
  <si>
    <t>mln nafar</t>
  </si>
  <si>
    <t>Bachadon bo‘yni saraton ga skrining tekshiruvidvn o‘tkazilgan 36-51 yoshdagi ayollar soni</t>
  </si>
  <si>
    <t>Dastur nomi: Allergik va ikkilamchi immunitet tankisligi kasalliklariga chalingan "Ijtimoiy himoya yagona reyestri"da bo‘lgan bemorlarga ingalyatsion glyukokortikosteroid dori vositalarini bepul tarqatish dasturi</t>
  </si>
  <si>
    <r>
      <rPr>
        <b/>
        <sz val="10"/>
        <color theme="1"/>
        <rFont val="Times New Roman"/>
        <family val="1"/>
        <charset val="204"/>
      </rPr>
      <t>Dastur maqsadi:</t>
    </r>
    <r>
      <rPr>
        <sz val="10"/>
        <color theme="1"/>
        <rFont val="Times New Roman"/>
        <family val="1"/>
        <charset val="204"/>
      </rPr>
      <t xml:space="preserve"> Aholiga ko‘rsatayotgan allergologik va immunologik tibbiy xizmatlar sifatini yaxshilash va allergik kasalliklarga chalingan bemorlar uchun qulay shart-sharoitlar yaratish, ularning zarur dori vositalari bilan ta’minlash</t>
    </r>
  </si>
  <si>
    <t>allergik kasalliklarga chalingan bemorlarni belgilangan tartibda dori vositalari bilan ta’minlash darajasi</t>
  </si>
  <si>
    <r>
      <t xml:space="preserve">Bemorlarga bronxial astma hurujlarini kamayish darajasi </t>
    </r>
    <r>
      <rPr>
        <i/>
        <sz val="10"/>
        <color theme="1"/>
        <rFont val="Times New Roman"/>
        <family val="1"/>
        <charset val="204"/>
      </rPr>
      <t>(jami bronxial astma kasalligi bilan kasallangan bemorlarga nisbatan)</t>
    </r>
  </si>
  <si>
    <t>Dastur nomi: Bolalarni qo‘llab-quvvatlash jamoat fondi mablag‘larini shakllantirish</t>
  </si>
  <si>
    <r>
      <rPr>
        <b/>
        <sz val="10"/>
        <color rgb="FF000000"/>
        <rFont val="Times New Roman"/>
        <family val="1"/>
        <charset val="204"/>
      </rPr>
      <t xml:space="preserve">Dastur maqsadi: </t>
    </r>
    <r>
      <rPr>
        <sz val="10"/>
        <color rgb="FF000000"/>
        <rFont val="Times New Roman"/>
        <family val="1"/>
        <charset val="204"/>
      </rPr>
      <t>O‘zbekiston Respublikasi markazlarida bajarilmayotgan jarrohlik va terapevtik amaliyotlarni chet el mamlakat shifoxonalarida bajarish</t>
    </r>
  </si>
  <si>
    <t>18 yoshgacha bolalar o‘limi ko‘rsatgichi</t>
  </si>
  <si>
    <t>Yordam ko‘rsatilgan bemor bolalar soni</t>
  </si>
  <si>
    <t>3.1</t>
  </si>
  <si>
    <t>3.2</t>
  </si>
  <si>
    <t>3.3</t>
  </si>
  <si>
    <t>3.4</t>
  </si>
  <si>
    <t>3.5</t>
  </si>
  <si>
    <t>3.6</t>
  </si>
  <si>
    <t>3.8</t>
  </si>
  <si>
    <t>3.7</t>
  </si>
  <si>
    <t>3.9</t>
  </si>
  <si>
    <t>3.10</t>
  </si>
  <si>
    <t>3.11</t>
  </si>
  <si>
    <t>3.12</t>
  </si>
  <si>
    <t>3.13</t>
  </si>
  <si>
    <t>3.14</t>
  </si>
  <si>
    <t>3.15</t>
  </si>
  <si>
    <t>3.16</t>
  </si>
  <si>
    <t>3.17</t>
  </si>
  <si>
    <t>3.18</t>
  </si>
  <si>
    <t>3.19</t>
  </si>
  <si>
    <t>3.20</t>
  </si>
  <si>
    <t>3.21</t>
  </si>
  <si>
    <t>3.22</t>
  </si>
  <si>
    <t>3.23</t>
  </si>
  <si>
    <t xml:space="preserve">Izoh: </t>
  </si>
  <si>
    <t>Aniqlangan reja</t>
  </si>
  <si>
    <t>ижро</t>
  </si>
  <si>
    <t>farqi  
(-kam, +ko‘p)</t>
  </si>
  <si>
    <t>foizda</t>
  </si>
  <si>
    <t xml:space="preserve">01.04.2025 yil holatiga </t>
  </si>
  <si>
    <t>Беморнинг умр давомийлиги унда ОИВ аниқланганидан бошлаб ҳисобланган</t>
  </si>
  <si>
    <t>Xorijdan iqtidorli va malakali tibbiyot mutaxassislarni  SSVning 09.08.2024-yildagi 263-son buyrug‘ining  3-ilovasi asosida jalb qilishi ko‘zda tutilgan.</t>
  </si>
  <si>
    <t>Olib borilayotgan ishlar samarasi tufayli 2025-yil 1-chorakda davolash samaradorligi tuberkulezning 1-turi bilan kasallangan bemorlarda – 89,0 foiz (JSST ko‘rsatgichi 85,0 foiz), tuberkulezning 2-turi bilan kasallangan bemorlarda 79,0 foiz (JSST ko‘rsatgichi 65,0 foiz) va tuberkulezning 3-turi bilan kasallangan bemorlarda 69,0 foiz (JSST ko‘rsatgichi -55,0 foiz) ni tashkil qildi.</t>
  </si>
  <si>
    <t>Tuberkulez kasalligini samarali davolash maqsadida joriy yilda davlat budjeti va Global jamg‘arma grant mablag‘lari xisobiga 30 turdagi tuberkulezga qarshi dori vositalar keltirildi. Jahon sog‘liqni saqlash tashkiloti malakaviy sertifikati ega ushbu dori vositalar yordamida 3427 nafar tuberkulezning 1-turi (qamrov 100 foiz) hamda 672 nafar tuberkulezning 2- va 3-turlari (qamrov 100 foiz) bilan kasallangan bemorlar sifatli dori vositalari bilan ta’minlandi.</t>
  </si>
  <si>
    <t>3..24</t>
  </si>
  <si>
    <t>Qandli diabetning 1- va 2-turi bilan kasallangan bemorlar soni</t>
  </si>
  <si>
    <t>Qandli diabetning 1-turi bilan kasallangan bolalar va o‘smirlar soni</t>
  </si>
  <si>
    <t xml:space="preserve">
 Ijro monitoring jadvaliga binoan barcha xaridlar joriy yilning ikkinchi yarmida o'tkaziladi.</t>
  </si>
  <si>
    <t xml:space="preserve">Ushbu dastur doirasida xarid qilinishi lozim bo‘lgan reagentlar va sarflov anjomlari ro‘yxati va miqdori to‘g‘risida  2025 yil uchun extiyoj SSVga taqdim etilgan bo‘lib, tovarlarning boshlangich narxlarini aniqlash maqsadida marketing tadqiqodlari o‘tkazilmoqda </t>
  </si>
  <si>
    <t>Tender jarayoni o‘tkazilib, shartnoma belgilangan tartibda tasdiqlandi. 268 dona koxler implant sotib olish bo‘yicha shartnoma tasdiqlandi.  Biroq, valyuta kursining o‘zgarishi, qo‘shilgan qiymat solig‘i, yo‘l xarajatlari va bojxona to‘lovlarini qoplash zaruriyati tufayli xarid qilinadigan implantlar soni kamaytirildi</t>
  </si>
  <si>
    <t>Xarid etiladiga dorilar, test-sistemalar va reagentlar uchun extiyoj, texnik vazifalar tasdiqlatilib, xarid uchun SSVga taqdim etilgan</t>
  </si>
  <si>
    <t>Ehtiyoj va Texnik topshiriq tasdiqlangan. "Xaridlar markazi"ga taqdim qilingan</t>
  </si>
  <si>
    <t>2025 yil uchun birinchi darajali byudjet mablag‘larini taqsimlovchilarning byudjet xarajatlari va rivojlantirish dasturlarining maqsadli indikatorlari</t>
  </si>
  <si>
    <t>Ko‘krak bezi saratoniga skrining tekshiruvidan o‘tkazilgan 45-65 yoshdagi ayollar soni</t>
  </si>
  <si>
    <t>koʻrsatgichlarning bajarilishi yil yakuni boʻyicha aniqlanadi</t>
  </si>
  <si>
    <t>Йиллик режа асосида Республика худудларида марказ ходимлари ва худудий етакчи мутахассислар билан биргаликда ахоли кўригидан ўтказилди.</t>
  </si>
  <si>
    <t>Марказда жами 1чи чоракда 18 турдаги 154та юқори технологик операциялар бажарилди.</t>
  </si>
  <si>
    <t>Барча янги туғилган чақалоқлар туғма эшитиш муаммоси бор-йўқлигини аниқлаш учун скринингдан ўтказилади, 10% аномалия ҳолатларида ўтказилмайди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</si>
</sst>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_-* #,##0.00\ _₽_-;\-* #,##0.00\ _₽_-;_-* &quot;-&quot;??\ _₽_-;_-@_-"/>
    <numFmt numFmtId="167" formatCode="_-* #,##0\ _₽_-;\-* #,##0\ _₽_-;_-* &quot;-&quot;??\ _₽_-;_-@_-"/>
    <numFmt numFmtId="168" formatCode="0.000000"/>
    <numFmt numFmtId="169" formatCode="_-* #,##0_-;\-* #,##0_-;_-* &quot;-&quot;??_-;_-@_-"/>
  </numFmts>
  <fonts count="5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0"/>
      <color rgb="FF000000"/>
      <name val="Times New Roman"/>
      <family val="1"/>
      <charset val="204"/>
    </font>
    <font>
      <sz val="10"/>
      <color rgb="FF000000"/>
      <name val="Times New Roman"/>
      <family val="1"/>
      <charset val="204"/>
    </font>
    <font>
      <sz val="10"/>
      <name val="Times New Roman"/>
      <family val="1"/>
      <charset val="204"/>
    </font>
    <font>
      <b/>
      <sz val="10"/>
      <name val="Times New Roman"/>
      <family val="1"/>
      <charset val="204"/>
    </font>
    <font>
      <i/>
      <sz val="10"/>
      <color rgb="FF000000"/>
      <name val="Times New Roman"/>
      <family val="1"/>
      <charset val="204"/>
    </font>
    <font>
      <sz val="10"/>
      <color theme="1"/>
      <name val="Times New Roman"/>
      <family val="1"/>
      <charset val="204"/>
    </font>
    <font>
      <b/>
      <sz val="10"/>
      <color theme="1"/>
      <name val="Times New Roman"/>
      <family val="1"/>
      <charset val="204"/>
    </font>
    <font>
      <b/>
      <sz val="13"/>
      <color theme="1"/>
      <name val="Times New Roman"/>
      <family val="1"/>
      <charset val="204"/>
    </font>
    <font>
      <sz val="11"/>
      <color theme="1"/>
      <name val="Times New Roman"/>
      <family val="1"/>
      <charset val="204"/>
    </font>
    <font>
      <b/>
      <sz val="11"/>
      <color theme="1"/>
      <name val="Times New Roman"/>
      <family val="1"/>
      <charset val="204"/>
    </font>
    <font>
      <i/>
      <sz val="10"/>
      <color theme="1"/>
      <name val="Times New Roman"/>
      <family val="1"/>
      <charset val="204"/>
    </font>
    <font>
      <b/>
      <sz val="10"/>
      <color rgb="FFFF0000"/>
      <name val="Times New Roman"/>
      <family val="1"/>
    </font>
    <font>
      <sz val="11"/>
      <color rgb="FFFF0000"/>
      <name val="Times New Roman"/>
      <family val="1"/>
    </font>
    <font>
      <sz val="10"/>
      <name val="Times New Roman"/>
      <family val="1"/>
    </font>
    <font>
      <sz val="10"/>
      <color rgb="FF000000"/>
      <name val="Times New Roman"/>
      <family val="1"/>
    </font>
    <font>
      <b/>
      <sz val="12"/>
      <color rgb="FF000000"/>
      <name val="Times New Roman"/>
      <family val="1"/>
      <charset val="204"/>
    </font>
    <font>
      <sz val="12"/>
      <name val="Times New Roman"/>
      <family val="1"/>
      <charset val="204"/>
    </font>
    <font>
      <b/>
      <sz val="12"/>
      <name val="Times New Roman"/>
      <family val="1"/>
      <charset val="204"/>
    </font>
    <font>
      <b/>
      <u/>
      <sz val="10"/>
      <name val="Times New Roman"/>
      <family val="1"/>
      <charset val="204"/>
    </font>
    <font>
      <b/>
      <sz val="10"/>
      <name val="Times New Roman"/>
      <family val="1"/>
    </font>
    <font>
      <sz val="11"/>
      <name val="Times New Roman"/>
      <family val="1"/>
    </font>
    <font>
      <sz val="10"/>
      <name val="Arial Cyr"/>
      <charset val="204"/>
    </font>
    <font>
      <sz val="18"/>
      <name val="Times New Roman"/>
      <family val="1"/>
      <charset val="204"/>
    </font>
    <font>
      <b/>
      <sz val="12"/>
      <color rgb="FF0000FF"/>
      <name val="Times New Roman"/>
      <family val="1"/>
      <charset val="204"/>
    </font>
    <font>
      <sz val="13"/>
      <name val="Times New Roman"/>
      <family val="1"/>
      <charset val="204"/>
    </font>
    <font>
      <b/>
      <sz val="13"/>
      <color rgb="FFC00000"/>
      <name val="Times New Roman"/>
      <family val="1"/>
      <charset val="204"/>
    </font>
    <font>
      <b/>
      <sz val="18"/>
      <name val="Times New Roman"/>
      <family val="1"/>
      <charset val="204"/>
    </font>
    <font>
      <b/>
      <sz val="13"/>
      <name val="Times New Roman"/>
      <family val="1"/>
      <charset val="204"/>
    </font>
    <font>
      <b/>
      <sz val="13"/>
      <color rgb="FF0000FF"/>
      <name val="Times New Roman"/>
      <family val="1"/>
      <charset val="204"/>
    </font>
    <font>
      <b/>
      <sz val="14"/>
      <name val="Times New Roman"/>
      <family val="1"/>
      <charset val="204"/>
    </font>
    <font>
      <i/>
      <sz val="12"/>
      <name val="Times New Roman"/>
      <family val="1"/>
      <charset val="204"/>
    </font>
    <font>
      <i/>
      <sz val="18"/>
      <name val="Times New Roman"/>
      <family val="1"/>
      <charset val="204"/>
    </font>
    <font>
      <i/>
      <sz val="13"/>
      <name val="Times New Roman"/>
      <family val="1"/>
      <charset val="204"/>
    </font>
    <font>
      <sz val="13"/>
      <color theme="1"/>
      <name val="Times New Roman"/>
      <family val="1"/>
      <charset val="204"/>
    </font>
    <font>
      <i/>
      <sz val="12"/>
      <color theme="1"/>
      <name val="Times New Roman"/>
      <family val="1"/>
      <charset val="204"/>
    </font>
    <font>
      <i/>
      <sz val="18"/>
      <color theme="1"/>
      <name val="Times New Roman"/>
      <family val="1"/>
      <charset val="204"/>
    </font>
    <font>
      <b/>
      <i/>
      <sz val="12"/>
      <name val="Times New Roman"/>
      <family val="1"/>
      <charset val="204"/>
    </font>
    <font>
      <b/>
      <sz val="18"/>
      <color rgb="FF0070C0"/>
      <name val="Times New Roman"/>
      <family val="1"/>
      <charset val="204"/>
    </font>
    <font>
      <b/>
      <i/>
      <sz val="13"/>
      <name val="Times New Roman"/>
      <family val="1"/>
      <charset val="204"/>
    </font>
    <font>
      <b/>
      <i/>
      <sz val="18"/>
      <name val="Times New Roman"/>
      <family val="1"/>
      <charset val="204"/>
    </font>
    <font>
      <sz val="10"/>
      <color theme="1"/>
      <name val="Arial"/>
      <family val="2"/>
      <charset val="204"/>
    </font>
    <font>
      <sz val="13"/>
      <color rgb="FFC00000"/>
      <name val="Times New Roman"/>
      <family val="1"/>
      <charset val="204"/>
    </font>
    <font>
      <i/>
      <sz val="12"/>
      <color rgb="FFFF0000"/>
      <name val="Times New Roman"/>
      <family val="1"/>
      <charset val="204"/>
    </font>
    <font>
      <i/>
      <sz val="18"/>
      <color rgb="FFFF0000"/>
      <name val="Times New Roman"/>
      <family val="1"/>
      <charset val="204"/>
    </font>
    <font>
      <b/>
      <sz val="10"/>
      <color rgb="FFFF0000"/>
      <name val="Times New Roman"/>
      <family val="1"/>
      <charset val="204"/>
    </font>
    <font>
      <b/>
      <sz val="13"/>
      <color rgb="FF00000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FF"/>
      </patternFill>
    </fill>
    <fill>
      <patternFill patternType="solid">
        <fgColor rgb="FFFFFF00"/>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hair">
        <color auto="1"/>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hair">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3" fillId="0" borderId="0"/>
    <xf numFmtId="0" fontId="4" fillId="0" borderId="0"/>
    <xf numFmtId="0" fontId="2" fillId="0" borderId="0"/>
    <xf numFmtId="0" fontId="2" fillId="0" borderId="0"/>
    <xf numFmtId="43" fontId="4" fillId="0" borderId="0" applyFont="0" applyFill="0" applyBorder="0" applyAlignment="0" applyProtection="0"/>
    <xf numFmtId="0" fontId="26" fillId="0" borderId="0"/>
    <xf numFmtId="0" fontId="1" fillId="0" borderId="0"/>
    <xf numFmtId="0" fontId="26" fillId="0" borderId="0"/>
  </cellStyleXfs>
  <cellXfs count="230">
    <xf numFmtId="0" fontId="0" fillId="0" borderId="0" xfId="0"/>
    <xf numFmtId="0" fontId="5" fillId="0" borderId="2" xfId="0" applyFont="1" applyBorder="1" applyAlignment="1">
      <alignment horizontal="left" vertical="center" wrapText="1"/>
    </xf>
    <xf numFmtId="0" fontId="5"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49" fontId="5" fillId="0" borderId="2" xfId="0" applyNumberFormat="1" applyFont="1" applyBorder="1" applyAlignment="1">
      <alignment horizontal="left" vertical="center" wrapText="1"/>
    </xf>
    <xf numFmtId="49" fontId="5" fillId="2" borderId="2" xfId="0" applyNumberFormat="1" applyFont="1" applyFill="1" applyBorder="1" applyAlignment="1">
      <alignment horizontal="left" vertical="center" wrapText="1"/>
    </xf>
    <xf numFmtId="0" fontId="10" fillId="0" borderId="0" xfId="0" applyFont="1" applyAlignment="1">
      <alignment horizontal="left" vertical="center" wrapText="1"/>
    </xf>
    <xf numFmtId="0" fontId="13" fillId="0" borderId="0" xfId="0" applyFont="1" applyAlignment="1">
      <alignment horizontal="left" vertical="center" wrapText="1"/>
    </xf>
    <xf numFmtId="0" fontId="13" fillId="2" borderId="0" xfId="0" applyFont="1" applyFill="1" applyAlignment="1">
      <alignment horizontal="left" vertical="center" wrapText="1"/>
    </xf>
    <xf numFmtId="0" fontId="13" fillId="0" borderId="0" xfId="0" applyFont="1" applyAlignment="1">
      <alignment horizontal="center" vertical="center" wrapText="1"/>
    </xf>
    <xf numFmtId="49" fontId="5" fillId="3" borderId="2" xfId="0" applyNumberFormat="1" applyFont="1" applyFill="1" applyBorder="1" applyAlignment="1">
      <alignment horizontal="left" vertical="center" wrapText="1"/>
    </xf>
    <xf numFmtId="0" fontId="11" fillId="3"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3" fillId="2" borderId="2" xfId="0" applyFont="1" applyFill="1" applyBorder="1" applyAlignment="1">
      <alignment horizontal="left" vertical="center" wrapText="1"/>
    </xf>
    <xf numFmtId="0" fontId="14" fillId="2" borderId="0" xfId="0" applyFont="1" applyFill="1" applyAlignment="1">
      <alignment horizontal="left" vertical="center" wrapText="1"/>
    </xf>
    <xf numFmtId="0" fontId="8" fillId="3" borderId="2" xfId="1" applyFont="1" applyFill="1" applyBorder="1" applyAlignment="1">
      <alignment horizontal="left" vertical="center" wrapText="1"/>
    </xf>
    <xf numFmtId="49" fontId="11" fillId="3" borderId="2" xfId="0" applyNumberFormat="1" applyFont="1" applyFill="1" applyBorder="1" applyAlignment="1">
      <alignment horizontal="left" vertical="center" wrapText="1"/>
    </xf>
    <xf numFmtId="49" fontId="11" fillId="0" borderId="0" xfId="0" applyNumberFormat="1" applyFont="1" applyAlignment="1">
      <alignment horizontal="left" vertical="center" wrapText="1"/>
    </xf>
    <xf numFmtId="49" fontId="11" fillId="0" borderId="2" xfId="0" applyNumberFormat="1" applyFont="1" applyBorder="1" applyAlignment="1">
      <alignment horizontal="left" vertical="center" wrapText="1"/>
    </xf>
    <xf numFmtId="0" fontId="6" fillId="4" borderId="2" xfId="0" applyNumberFormat="1" applyFont="1" applyFill="1" applyBorder="1" applyAlignment="1" applyProtection="1">
      <alignment horizontal="center" vertical="center" wrapText="1"/>
    </xf>
    <xf numFmtId="0" fontId="6" fillId="4" borderId="2" xfId="0" applyNumberFormat="1" applyFont="1" applyFill="1" applyBorder="1" applyAlignment="1" applyProtection="1">
      <alignment horizontal="left" vertical="center" wrapText="1"/>
    </xf>
    <xf numFmtId="0" fontId="5" fillId="4" borderId="2"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wrapText="1"/>
    </xf>
    <xf numFmtId="0" fontId="6" fillId="2" borderId="2" xfId="0" applyNumberFormat="1" applyFont="1" applyFill="1" applyBorder="1" applyAlignment="1" applyProtection="1">
      <alignment horizontal="center" vertical="center" wrapText="1"/>
    </xf>
    <xf numFmtId="0" fontId="17" fillId="2" borderId="0" xfId="0" applyFont="1" applyFill="1" applyAlignment="1">
      <alignment horizontal="left" vertical="center" wrapText="1"/>
    </xf>
    <xf numFmtId="49" fontId="16" fillId="2" borderId="2" xfId="0" applyNumberFormat="1" applyFont="1" applyFill="1" applyBorder="1" applyAlignment="1">
      <alignment horizontal="left" vertical="center" wrapText="1"/>
    </xf>
    <xf numFmtId="0" fontId="16" fillId="2" borderId="2" xfId="0" applyFont="1" applyFill="1" applyBorder="1" applyAlignment="1">
      <alignment horizontal="left" vertical="center" wrapText="1"/>
    </xf>
    <xf numFmtId="49" fontId="10" fillId="0" borderId="2" xfId="0" applyNumberFormat="1" applyFont="1" applyBorder="1" applyAlignment="1">
      <alignment horizontal="left" vertical="center" wrapText="1"/>
    </xf>
    <xf numFmtId="49" fontId="18" fillId="2" borderId="2" xfId="0" applyNumberFormat="1" applyFont="1" applyFill="1" applyBorder="1" applyAlignment="1">
      <alignment horizontal="center" vertical="center" wrapText="1"/>
    </xf>
    <xf numFmtId="0" fontId="18" fillId="2" borderId="2" xfId="0" applyFont="1" applyFill="1" applyBorder="1" applyAlignment="1">
      <alignment horizontal="left" vertical="center" wrapText="1"/>
    </xf>
    <xf numFmtId="0" fontId="18" fillId="2" borderId="2" xfId="0"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49" fontId="20" fillId="3" borderId="2" xfId="0" applyNumberFormat="1" applyFont="1" applyFill="1" applyBorder="1" applyAlignment="1">
      <alignment horizontal="left" vertical="center" wrapText="1"/>
    </xf>
    <xf numFmtId="0" fontId="20" fillId="3" borderId="2" xfId="0" applyFont="1" applyFill="1" applyBorder="1" applyAlignment="1">
      <alignment horizontal="left" vertical="center" wrapText="1"/>
    </xf>
    <xf numFmtId="0" fontId="24" fillId="2" borderId="2" xfId="0" applyFont="1" applyFill="1" applyBorder="1" applyAlignment="1">
      <alignment horizontal="left" vertical="center" wrapText="1"/>
    </xf>
    <xf numFmtId="49" fontId="24" fillId="2" borderId="2" xfId="0" applyNumberFormat="1" applyFont="1" applyFill="1" applyBorder="1" applyAlignment="1">
      <alignment horizontal="left" vertical="center" wrapText="1"/>
    </xf>
    <xf numFmtId="0" fontId="25" fillId="2" borderId="0" xfId="0" applyFont="1" applyFill="1" applyAlignment="1">
      <alignment horizontal="left" vertical="center" wrapText="1"/>
    </xf>
    <xf numFmtId="0" fontId="5" fillId="3" borderId="2" xfId="0" applyNumberFormat="1" applyFont="1" applyFill="1" applyBorder="1" applyAlignment="1" applyProtection="1">
      <alignment horizontal="center" vertical="center" wrapText="1"/>
    </xf>
    <xf numFmtId="0" fontId="5" fillId="3" borderId="2" xfId="0" applyNumberFormat="1" applyFont="1" applyFill="1" applyBorder="1" applyAlignment="1" applyProtection="1">
      <alignment horizontal="left" vertical="center" wrapText="1"/>
    </xf>
    <xf numFmtId="49" fontId="8" fillId="3" borderId="2" xfId="0" applyNumberFormat="1" applyFont="1" applyFill="1" applyBorder="1" applyAlignment="1">
      <alignment horizontal="left" vertical="center" wrapText="1"/>
    </xf>
    <xf numFmtId="0" fontId="5" fillId="2"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2" fillId="2" borderId="2" xfId="0" applyFont="1" applyFill="1" applyBorder="1" applyAlignment="1">
      <alignment horizontal="left" vertical="center" wrapText="1"/>
    </xf>
    <xf numFmtId="49" fontId="20" fillId="2" borderId="2" xfId="0" applyNumberFormat="1" applyFont="1" applyFill="1" applyBorder="1" applyAlignment="1">
      <alignment horizontal="left" vertical="center" wrapText="1"/>
    </xf>
    <xf numFmtId="0" fontId="6" fillId="2" borderId="2" xfId="0" applyNumberFormat="1" applyFont="1" applyFill="1" applyBorder="1" applyAlignment="1" applyProtection="1">
      <alignment horizontal="left" vertical="center" wrapText="1"/>
    </xf>
    <xf numFmtId="49" fontId="22" fillId="2" borderId="0" xfId="6" applyNumberFormat="1" applyFont="1" applyFill="1" applyAlignment="1">
      <alignment horizontal="center" vertical="center"/>
    </xf>
    <xf numFmtId="0" fontId="21" fillId="2" borderId="0" xfId="6" applyFont="1" applyFill="1" applyAlignment="1">
      <alignment vertical="center" wrapText="1"/>
    </xf>
    <xf numFmtId="0" fontId="21" fillId="2" borderId="0" xfId="6" applyFont="1" applyFill="1" applyAlignment="1">
      <alignment horizontal="center" vertical="center" wrapText="1"/>
    </xf>
    <xf numFmtId="0" fontId="21" fillId="2" borderId="0" xfId="6" applyFont="1" applyFill="1" applyAlignment="1">
      <alignment vertical="center"/>
    </xf>
    <xf numFmtId="0" fontId="27" fillId="2" borderId="0" xfId="6" applyFont="1" applyFill="1" applyAlignment="1">
      <alignment vertical="center"/>
    </xf>
    <xf numFmtId="1" fontId="28" fillId="2" borderId="0" xfId="6" applyNumberFormat="1" applyFont="1" applyFill="1" applyAlignment="1">
      <alignment vertical="center"/>
    </xf>
    <xf numFmtId="167" fontId="21" fillId="2" borderId="0" xfId="5" applyNumberFormat="1" applyFont="1" applyFill="1" applyAlignment="1">
      <alignment vertical="center"/>
    </xf>
    <xf numFmtId="49" fontId="29" fillId="2" borderId="0" xfId="6" applyNumberFormat="1" applyFont="1" applyFill="1" applyAlignment="1">
      <alignment horizontal="center" vertical="center"/>
    </xf>
    <xf numFmtId="0" fontId="29" fillId="2" borderId="0" xfId="6" applyFont="1" applyFill="1" applyAlignment="1">
      <alignment horizontal="center" vertical="center"/>
    </xf>
    <xf numFmtId="0" fontId="29" fillId="2" borderId="0" xfId="6" applyFont="1" applyFill="1" applyAlignment="1">
      <alignment vertical="center"/>
    </xf>
    <xf numFmtId="1" fontId="29" fillId="2" borderId="0" xfId="6" applyNumberFormat="1" applyFont="1" applyFill="1" applyAlignment="1">
      <alignment vertical="center"/>
    </xf>
    <xf numFmtId="3" fontId="30" fillId="2" borderId="0" xfId="6" applyNumberFormat="1" applyFont="1" applyFill="1" applyAlignment="1">
      <alignment vertical="center"/>
    </xf>
    <xf numFmtId="3" fontId="30" fillId="2" borderId="0" xfId="6" applyNumberFormat="1" applyFont="1" applyFill="1" applyAlignment="1">
      <alignment horizontal="center" vertical="center"/>
    </xf>
    <xf numFmtId="0" fontId="31" fillId="2" borderId="0" xfId="6" applyFont="1" applyFill="1" applyAlignment="1">
      <alignment horizontal="center" vertical="center" wrapText="1"/>
    </xf>
    <xf numFmtId="0" fontId="32" fillId="2" borderId="0" xfId="6" applyFont="1" applyFill="1" applyAlignment="1">
      <alignment horizontal="center" vertical="center" wrapText="1"/>
    </xf>
    <xf numFmtId="0" fontId="33" fillId="2" borderId="0" xfId="6" applyFont="1" applyFill="1" applyAlignment="1">
      <alignment horizontal="left" vertical="center"/>
    </xf>
    <xf numFmtId="164" fontId="34" fillId="2" borderId="0" xfId="6" applyNumberFormat="1" applyFont="1" applyFill="1" applyAlignment="1">
      <alignment horizontal="center" vertical="center" wrapText="1" shrinkToFit="1"/>
    </xf>
    <xf numFmtId="0" fontId="34" fillId="2" borderId="0" xfId="6" applyFont="1" applyFill="1" applyAlignment="1">
      <alignment horizontal="center" vertical="center" wrapText="1" shrinkToFit="1"/>
    </xf>
    <xf numFmtId="3" fontId="22" fillId="2" borderId="0" xfId="6" applyNumberFormat="1" applyFont="1" applyFill="1" applyAlignment="1">
      <alignment vertical="center"/>
    </xf>
    <xf numFmtId="3" fontId="31" fillId="2" borderId="0" xfId="5" applyNumberFormat="1" applyFont="1" applyFill="1" applyAlignment="1">
      <alignment horizontal="center" vertical="center"/>
    </xf>
    <xf numFmtId="3" fontId="28" fillId="2" borderId="0" xfId="6" applyNumberFormat="1" applyFont="1" applyFill="1" applyAlignment="1">
      <alignment vertical="center"/>
    </xf>
    <xf numFmtId="3" fontId="22" fillId="2" borderId="0" xfId="6" applyNumberFormat="1" applyFont="1" applyFill="1" applyAlignment="1">
      <alignment horizontal="center" vertical="center"/>
    </xf>
    <xf numFmtId="0" fontId="22" fillId="2" borderId="0" xfId="6" applyFont="1" applyFill="1" applyAlignment="1">
      <alignment vertical="center"/>
    </xf>
    <xf numFmtId="164" fontId="29" fillId="2" borderId="0" xfId="7" applyNumberFormat="1" applyFont="1" applyFill="1" applyAlignment="1">
      <alignment horizontal="center" vertical="center" wrapText="1"/>
    </xf>
    <xf numFmtId="0" fontId="35" fillId="2" borderId="0" xfId="6" applyFont="1" applyFill="1" applyAlignment="1">
      <alignment vertical="center"/>
    </xf>
    <xf numFmtId="0" fontId="36" fillId="2" borderId="0" xfId="6" applyFont="1" applyFill="1" applyAlignment="1">
      <alignment vertical="center"/>
    </xf>
    <xf numFmtId="49" fontId="32" fillId="2" borderId="2" xfId="6" applyNumberFormat="1" applyFont="1" applyFill="1" applyBorder="1" applyAlignment="1">
      <alignment horizontal="center" vertical="center"/>
    </xf>
    <xf numFmtId="0" fontId="32" fillId="2" borderId="2" xfId="6" applyFont="1" applyFill="1" applyBorder="1" applyAlignment="1">
      <alignment horizontal="center" vertical="center" wrapText="1"/>
    </xf>
    <xf numFmtId="164" fontId="32" fillId="2" borderId="0" xfId="6" applyNumberFormat="1" applyFont="1" applyFill="1" applyAlignment="1">
      <alignment horizontal="center" vertical="center" wrapText="1"/>
    </xf>
    <xf numFmtId="164" fontId="35" fillId="2" borderId="0" xfId="6" applyNumberFormat="1" applyFont="1" applyFill="1" applyAlignment="1">
      <alignment vertical="center"/>
    </xf>
    <xf numFmtId="49" fontId="32" fillId="2" borderId="4" xfId="8" applyNumberFormat="1" applyFont="1" applyFill="1" applyBorder="1" applyAlignment="1">
      <alignment horizontal="center" vertical="center" wrapText="1"/>
    </xf>
    <xf numFmtId="0" fontId="32" fillId="2" borderId="4" xfId="6" applyFont="1" applyFill="1" applyBorder="1" applyAlignment="1">
      <alignment horizontal="left" vertical="center" wrapText="1" indent="1"/>
    </xf>
    <xf numFmtId="164" fontId="32" fillId="2" borderId="4" xfId="6" applyNumberFormat="1" applyFont="1" applyFill="1" applyBorder="1" applyAlignment="1">
      <alignment horizontal="center" vertical="center" wrapText="1"/>
    </xf>
    <xf numFmtId="49" fontId="32" fillId="2" borderId="4" xfId="6" applyNumberFormat="1" applyFont="1" applyFill="1" applyBorder="1" applyAlignment="1">
      <alignment horizontal="left" vertical="center" wrapText="1" indent="3"/>
    </xf>
    <xf numFmtId="0" fontId="37" fillId="2" borderId="4" xfId="6" applyFont="1" applyFill="1" applyBorder="1" applyAlignment="1">
      <alignment horizontal="left" vertical="center" wrapText="1" indent="1"/>
    </xf>
    <xf numFmtId="164" fontId="29" fillId="2" borderId="4" xfId="6" applyNumberFormat="1" applyFont="1" applyFill="1" applyBorder="1" applyAlignment="1">
      <alignment horizontal="center" vertical="center" wrapText="1"/>
    </xf>
    <xf numFmtId="164" fontId="29" fillId="2" borderId="0" xfId="6" applyNumberFormat="1" applyFont="1" applyFill="1" applyAlignment="1">
      <alignment horizontal="center" vertical="center" wrapText="1"/>
    </xf>
    <xf numFmtId="49" fontId="32" fillId="2" borderId="4" xfId="6" applyNumberFormat="1" applyFont="1" applyFill="1" applyBorder="1" applyAlignment="1">
      <alignment horizontal="left" vertical="center" wrapText="1" indent="2"/>
    </xf>
    <xf numFmtId="0" fontId="29" fillId="2" borderId="4" xfId="6" applyFont="1" applyFill="1" applyBorder="1" applyAlignment="1">
      <alignment horizontal="left" vertical="center" wrapText="1" indent="2"/>
    </xf>
    <xf numFmtId="0" fontId="29" fillId="2" borderId="4" xfId="6" applyFont="1" applyFill="1" applyBorder="1" applyAlignment="1">
      <alignment horizontal="left" vertical="center" wrapText="1" indent="4"/>
    </xf>
    <xf numFmtId="0" fontId="29" fillId="2" borderId="4" xfId="6" applyFont="1" applyFill="1" applyBorder="1" applyAlignment="1">
      <alignment horizontal="left" vertical="center" wrapText="1" indent="3"/>
    </xf>
    <xf numFmtId="164" fontId="32" fillId="2" borderId="0" xfId="6" applyNumberFormat="1" applyFont="1" applyFill="1" applyAlignment="1">
      <alignment horizontal="left" vertical="center"/>
    </xf>
    <xf numFmtId="164" fontId="30" fillId="2" borderId="0" xfId="6" applyNumberFormat="1" applyFont="1" applyFill="1" applyAlignment="1">
      <alignment horizontal="center" vertical="center" wrapText="1"/>
    </xf>
    <xf numFmtId="168" fontId="35" fillId="2" borderId="0" xfId="6" applyNumberFormat="1" applyFont="1" applyFill="1" applyAlignment="1">
      <alignment vertical="center"/>
    </xf>
    <xf numFmtId="0" fontId="37" fillId="2" borderId="4" xfId="6" applyFont="1" applyFill="1" applyBorder="1" applyAlignment="1">
      <alignment horizontal="left" vertical="center" wrapText="1" indent="3"/>
    </xf>
    <xf numFmtId="164" fontId="36" fillId="2" borderId="0" xfId="6" applyNumberFormat="1" applyFont="1" applyFill="1" applyAlignment="1">
      <alignment vertical="center"/>
    </xf>
    <xf numFmtId="49" fontId="12" fillId="2" borderId="4" xfId="6" applyNumberFormat="1" applyFont="1" applyFill="1" applyBorder="1" applyAlignment="1">
      <alignment horizontal="left" vertical="center" wrapText="1" indent="2"/>
    </xf>
    <xf numFmtId="0" fontId="38" fillId="2" borderId="4" xfId="6" applyFont="1" applyFill="1" applyBorder="1" applyAlignment="1">
      <alignment horizontal="left" vertical="center" wrapText="1" indent="4"/>
    </xf>
    <xf numFmtId="164" fontId="38" fillId="2" borderId="4" xfId="6" applyNumberFormat="1" applyFont="1" applyFill="1" applyBorder="1" applyAlignment="1">
      <alignment horizontal="center" vertical="center" wrapText="1"/>
    </xf>
    <xf numFmtId="164" fontId="38" fillId="2" borderId="0" xfId="6" applyNumberFormat="1" applyFont="1" applyFill="1" applyAlignment="1">
      <alignment horizontal="center" vertical="center" wrapText="1"/>
    </xf>
    <xf numFmtId="0" fontId="39" fillId="2" borderId="0" xfId="6" applyFont="1" applyFill="1" applyAlignment="1">
      <alignment vertical="center"/>
    </xf>
    <xf numFmtId="0" fontId="40" fillId="2" borderId="0" xfId="6" applyFont="1" applyFill="1" applyAlignment="1">
      <alignment vertical="center"/>
    </xf>
    <xf numFmtId="49" fontId="32" fillId="2" borderId="5" xfId="6" applyNumberFormat="1" applyFont="1" applyFill="1" applyBorder="1" applyAlignment="1">
      <alignment horizontal="left" vertical="center" wrapText="1" indent="2"/>
    </xf>
    <xf numFmtId="0" fontId="29" fillId="2" borderId="5" xfId="6" applyFont="1" applyFill="1" applyBorder="1" applyAlignment="1">
      <alignment horizontal="left" vertical="center" wrapText="1" indent="2"/>
    </xf>
    <xf numFmtId="49" fontId="32" fillId="2" borderId="5" xfId="8" applyNumberFormat="1" applyFont="1" applyFill="1" applyBorder="1" applyAlignment="1">
      <alignment horizontal="center" vertical="center" wrapText="1"/>
    </xf>
    <xf numFmtId="0" fontId="32" fillId="2" borderId="5" xfId="6" applyFont="1" applyFill="1" applyBorder="1" applyAlignment="1">
      <alignment horizontal="left" vertical="center" wrapText="1" indent="1"/>
    </xf>
    <xf numFmtId="4" fontId="35" fillId="2" borderId="0" xfId="6" applyNumberFormat="1" applyFont="1" applyFill="1" applyAlignment="1">
      <alignment vertical="center"/>
    </xf>
    <xf numFmtId="4" fontId="36" fillId="2" borderId="0" xfId="6" applyNumberFormat="1" applyFont="1" applyFill="1" applyAlignment="1">
      <alignment vertical="center"/>
    </xf>
    <xf numFmtId="0" fontId="41" fillId="2" borderId="0" xfId="6" applyFont="1" applyFill="1" applyAlignment="1">
      <alignment vertical="center"/>
    </xf>
    <xf numFmtId="164" fontId="29" fillId="2" borderId="0" xfId="6" applyNumberFormat="1" applyFont="1" applyFill="1" applyAlignment="1">
      <alignment horizontal="left" vertical="center"/>
    </xf>
    <xf numFmtId="166" fontId="36" fillId="2" borderId="0" xfId="6" applyNumberFormat="1" applyFont="1" applyFill="1" applyAlignment="1">
      <alignment vertical="center"/>
    </xf>
    <xf numFmtId="164" fontId="30" fillId="2" borderId="0" xfId="6" applyNumberFormat="1" applyFont="1" applyFill="1" applyAlignment="1">
      <alignment horizontal="left" vertical="center"/>
    </xf>
    <xf numFmtId="49" fontId="32" fillId="0" borderId="4" xfId="6" applyNumberFormat="1" applyFont="1" applyBorder="1" applyAlignment="1">
      <alignment horizontal="left" vertical="center" wrapText="1" indent="2"/>
    </xf>
    <xf numFmtId="0" fontId="29" fillId="0" borderId="5" xfId="6" applyFont="1" applyBorder="1" applyAlignment="1">
      <alignment horizontal="left" vertical="center" wrapText="1" indent="2"/>
    </xf>
    <xf numFmtId="164" fontId="32" fillId="5" borderId="0" xfId="6" applyNumberFormat="1" applyFont="1" applyFill="1" applyAlignment="1">
      <alignment horizontal="center" vertical="center" wrapText="1"/>
    </xf>
    <xf numFmtId="0" fontId="35" fillId="5" borderId="0" xfId="6" applyFont="1" applyFill="1" applyAlignment="1">
      <alignment vertical="center"/>
    </xf>
    <xf numFmtId="0" fontId="36" fillId="5" borderId="0" xfId="6" applyFont="1" applyFill="1" applyAlignment="1">
      <alignment vertical="center"/>
    </xf>
    <xf numFmtId="0" fontId="37" fillId="2" borderId="5" xfId="6" applyFont="1" applyFill="1" applyBorder="1" applyAlignment="1">
      <alignment horizontal="left" vertical="center" wrapText="1" indent="3"/>
    </xf>
    <xf numFmtId="0" fontId="29" fillId="2" borderId="5" xfId="6" applyFont="1" applyFill="1" applyBorder="1" applyAlignment="1">
      <alignment horizontal="left" vertical="center" wrapText="1" indent="4"/>
    </xf>
    <xf numFmtId="164" fontId="33" fillId="2" borderId="0" xfId="6" applyNumberFormat="1" applyFont="1" applyFill="1" applyAlignment="1">
      <alignment horizontal="center" vertical="center" wrapText="1"/>
    </xf>
    <xf numFmtId="0" fontId="22" fillId="2" borderId="0" xfId="6" applyFont="1" applyFill="1" applyAlignment="1">
      <alignment horizontal="center" vertical="center"/>
    </xf>
    <xf numFmtId="164" fontId="29" fillId="2" borderId="5" xfId="6" applyNumberFormat="1" applyFont="1" applyFill="1" applyBorder="1" applyAlignment="1">
      <alignment horizontal="center" vertical="center" wrapText="1"/>
    </xf>
    <xf numFmtId="164" fontId="29" fillId="5" borderId="0" xfId="6" applyNumberFormat="1" applyFont="1" applyFill="1" applyAlignment="1">
      <alignment horizontal="center" vertical="center" wrapText="1"/>
    </xf>
    <xf numFmtId="164" fontId="21" fillId="2" borderId="0" xfId="6" applyNumberFormat="1" applyFont="1" applyFill="1" applyAlignment="1">
      <alignment horizontal="center" vertical="center"/>
    </xf>
    <xf numFmtId="0" fontId="27" fillId="2" borderId="0" xfId="6" applyFont="1" applyFill="1" applyAlignment="1">
      <alignment horizontal="center" vertical="center"/>
    </xf>
    <xf numFmtId="0" fontId="21" fillId="2" borderId="0" xfId="6" applyFont="1" applyFill="1" applyAlignment="1">
      <alignment horizontal="center" vertical="center"/>
    </xf>
    <xf numFmtId="164" fontId="29" fillId="0" borderId="4" xfId="6" applyNumberFormat="1" applyFont="1" applyBorder="1" applyAlignment="1">
      <alignment horizontal="center" vertical="center" wrapText="1"/>
    </xf>
    <xf numFmtId="49" fontId="32" fillId="0" borderId="4" xfId="8" applyNumberFormat="1" applyFont="1" applyBorder="1" applyAlignment="1">
      <alignment horizontal="center" vertical="center" wrapText="1"/>
    </xf>
    <xf numFmtId="0" fontId="32" fillId="0" borderId="4" xfId="6" applyFont="1" applyBorder="1" applyAlignment="1">
      <alignment horizontal="left" vertical="center" wrapText="1" indent="1"/>
    </xf>
    <xf numFmtId="164" fontId="32" fillId="0" borderId="4" xfId="6" applyNumberFormat="1" applyFont="1" applyBorder="1" applyAlignment="1">
      <alignment horizontal="center" vertical="center" wrapText="1"/>
    </xf>
    <xf numFmtId="164" fontId="31" fillId="2" borderId="0" xfId="6" applyNumberFormat="1" applyFont="1" applyFill="1" applyAlignment="1">
      <alignment vertical="center"/>
    </xf>
    <xf numFmtId="164" fontId="41" fillId="2" borderId="0" xfId="6" applyNumberFormat="1" applyFont="1" applyFill="1" applyAlignment="1">
      <alignment vertical="center"/>
    </xf>
    <xf numFmtId="164" fontId="42" fillId="2" borderId="0" xfId="6" applyNumberFormat="1" applyFont="1" applyFill="1" applyAlignment="1">
      <alignment vertical="center"/>
    </xf>
    <xf numFmtId="43" fontId="22" fillId="2" borderId="0" xfId="5" applyFont="1" applyFill="1" applyAlignment="1">
      <alignment horizontal="center" vertical="center"/>
    </xf>
    <xf numFmtId="43" fontId="22" fillId="5" borderId="0" xfId="5" applyFont="1" applyFill="1" applyAlignment="1">
      <alignment horizontal="center" vertical="center"/>
    </xf>
    <xf numFmtId="0" fontId="29" fillId="0" borderId="4" xfId="6" applyFont="1" applyBorder="1" applyAlignment="1">
      <alignment horizontal="left" vertical="center" wrapText="1" indent="4"/>
    </xf>
    <xf numFmtId="49" fontId="43" fillId="2" borderId="4" xfId="6" applyNumberFormat="1" applyFont="1" applyFill="1" applyBorder="1" applyAlignment="1">
      <alignment horizontal="left" vertical="center" wrapText="1" indent="2"/>
    </xf>
    <xf numFmtId="0" fontId="37" fillId="2" borderId="4" xfId="6" applyFont="1" applyFill="1" applyBorder="1" applyAlignment="1">
      <alignment horizontal="left" vertical="center" wrapText="1" indent="4"/>
    </xf>
    <xf numFmtId="164" fontId="37" fillId="2" borderId="4" xfId="6" applyNumberFormat="1" applyFont="1" applyFill="1" applyBorder="1" applyAlignment="1">
      <alignment horizontal="center" vertical="center" wrapText="1"/>
    </xf>
    <xf numFmtId="164" fontId="37" fillId="2" borderId="0" xfId="6" applyNumberFormat="1" applyFont="1" applyFill="1" applyAlignment="1">
      <alignment horizontal="center" vertical="center" wrapText="1"/>
    </xf>
    <xf numFmtId="43" fontId="41" fillId="2" borderId="0" xfId="5" applyFont="1" applyFill="1" applyAlignment="1">
      <alignment horizontal="center" vertical="center"/>
    </xf>
    <xf numFmtId="0" fontId="29" fillId="2" borderId="4" xfId="6" applyFont="1" applyFill="1" applyBorder="1" applyAlignment="1">
      <alignment horizontal="left" vertical="center" wrapText="1" indent="5"/>
    </xf>
    <xf numFmtId="167" fontId="35" fillId="2" borderId="0" xfId="5" applyNumberFormat="1" applyFont="1" applyFill="1" applyAlignment="1">
      <alignment horizontal="center" vertical="center"/>
    </xf>
    <xf numFmtId="167" fontId="36" fillId="2" borderId="0" xfId="5" applyNumberFormat="1" applyFont="1" applyFill="1" applyAlignment="1">
      <alignment horizontal="center" vertical="center"/>
    </xf>
    <xf numFmtId="0" fontId="44" fillId="2" borderId="0" xfId="6" applyFont="1" applyFill="1" applyAlignment="1">
      <alignment vertical="center"/>
    </xf>
    <xf numFmtId="0" fontId="45" fillId="2" borderId="6" xfId="0" applyFont="1" applyFill="1" applyBorder="1" applyAlignment="1">
      <alignment horizontal="center" vertical="center" wrapText="1"/>
    </xf>
    <xf numFmtId="164" fontId="46" fillId="2" borderId="0" xfId="6" applyNumberFormat="1" applyFont="1" applyFill="1" applyAlignment="1">
      <alignment horizontal="center" vertical="center" wrapText="1"/>
    </xf>
    <xf numFmtId="49" fontId="32" fillId="0" borderId="5" xfId="8" applyNumberFormat="1" applyFont="1" applyBorder="1" applyAlignment="1">
      <alignment horizontal="center" vertical="center" wrapText="1"/>
    </xf>
    <xf numFmtId="0" fontId="32" fillId="0" borderId="5" xfId="6" applyFont="1" applyBorder="1" applyAlignment="1">
      <alignment horizontal="left" vertical="center" wrapText="1" indent="1"/>
    </xf>
    <xf numFmtId="164" fontId="32" fillId="0" borderId="5" xfId="6" applyNumberFormat="1" applyFont="1" applyBorder="1" applyAlignment="1">
      <alignment horizontal="center" vertical="center" wrapText="1"/>
    </xf>
    <xf numFmtId="164" fontId="35" fillId="5" borderId="0" xfId="6" applyNumberFormat="1" applyFont="1" applyFill="1" applyAlignment="1">
      <alignment vertical="center"/>
    </xf>
    <xf numFmtId="49" fontId="32" fillId="2" borderId="7" xfId="6" applyNumberFormat="1" applyFont="1" applyFill="1" applyBorder="1" applyAlignment="1">
      <alignment horizontal="left" vertical="center" wrapText="1" indent="2"/>
    </xf>
    <xf numFmtId="164" fontId="32" fillId="2" borderId="5" xfId="6" applyNumberFormat="1" applyFont="1" applyFill="1" applyBorder="1" applyAlignment="1">
      <alignment horizontal="center" vertical="center" wrapText="1"/>
    </xf>
    <xf numFmtId="0" fontId="47" fillId="2" borderId="0" xfId="6" applyFont="1" applyFill="1" applyAlignment="1">
      <alignment vertical="center"/>
    </xf>
    <xf numFmtId="0" fontId="48" fillId="2" borderId="0" xfId="6" applyFont="1" applyFill="1" applyAlignment="1">
      <alignment vertical="center"/>
    </xf>
    <xf numFmtId="49" fontId="32" fillId="2" borderId="0" xfId="6" applyNumberFormat="1" applyFont="1" applyFill="1" applyAlignment="1">
      <alignment horizontal="center" vertical="center"/>
    </xf>
    <xf numFmtId="0" fontId="29" fillId="2" borderId="0" xfId="6" applyFont="1" applyFill="1" applyAlignment="1">
      <alignment vertical="center" wrapText="1"/>
    </xf>
    <xf numFmtId="0" fontId="29" fillId="2" borderId="0" xfId="6" applyFont="1" applyFill="1" applyAlignment="1">
      <alignment horizontal="center" vertical="center" wrapText="1"/>
    </xf>
    <xf numFmtId="1" fontId="10" fillId="2" borderId="2" xfId="0" applyNumberFormat="1" applyFont="1" applyFill="1" applyBorder="1" applyAlignment="1">
      <alignment horizontal="center" vertical="center" wrapText="1"/>
    </xf>
    <xf numFmtId="49" fontId="11" fillId="2" borderId="2" xfId="0" applyNumberFormat="1" applyFont="1" applyFill="1" applyBorder="1" applyAlignment="1">
      <alignment horizontal="left" vertical="center" wrapText="1"/>
    </xf>
    <xf numFmtId="17" fontId="5" fillId="3" borderId="2" xfId="0" applyNumberFormat="1" applyFont="1" applyFill="1" applyBorder="1" applyAlignment="1" applyProtection="1">
      <alignment horizontal="center" vertical="center" wrapText="1"/>
    </xf>
    <xf numFmtId="165" fontId="5" fillId="2" borderId="3" xfId="0" applyNumberFormat="1" applyFont="1" applyFill="1" applyBorder="1" applyAlignment="1">
      <alignment horizontal="center" vertical="center" wrapText="1"/>
    </xf>
    <xf numFmtId="4" fontId="5" fillId="2" borderId="3" xfId="0" applyNumberFormat="1"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8" fillId="3" borderId="2" xfId="0" applyFont="1" applyFill="1" applyBorder="1" applyAlignment="1">
      <alignment horizontal="left" vertical="center" wrapText="1"/>
    </xf>
    <xf numFmtId="169" fontId="6" fillId="2" borderId="2" xfId="5" applyNumberFormat="1" applyFont="1" applyFill="1" applyBorder="1" applyAlignment="1">
      <alignment horizontal="center" vertical="center" wrapText="1"/>
    </xf>
    <xf numFmtId="165" fontId="10" fillId="0" borderId="0" xfId="0" applyNumberFormat="1" applyFont="1" applyAlignment="1">
      <alignment horizontal="center" vertical="center" wrapText="1"/>
    </xf>
    <xf numFmtId="165" fontId="5" fillId="3" borderId="2" xfId="0" applyNumberFormat="1" applyFont="1" applyFill="1" applyBorder="1" applyAlignment="1">
      <alignment horizontal="center" vertical="center" wrapText="1"/>
    </xf>
    <xf numFmtId="165" fontId="5" fillId="0" borderId="2" xfId="0" applyNumberFormat="1" applyFont="1" applyBorder="1" applyAlignment="1">
      <alignment horizontal="center" vertical="center" wrapText="1"/>
    </xf>
    <xf numFmtId="165" fontId="5" fillId="2" borderId="2" xfId="0" applyNumberFormat="1" applyFont="1" applyFill="1" applyBorder="1" applyAlignment="1">
      <alignment horizontal="center" vertical="center" wrapText="1"/>
    </xf>
    <xf numFmtId="165" fontId="6" fillId="2" borderId="2" xfId="0" applyNumberFormat="1" applyFont="1" applyFill="1" applyBorder="1" applyAlignment="1">
      <alignment horizontal="center" vertical="center" wrapText="1"/>
    </xf>
    <xf numFmtId="165" fontId="6" fillId="2" borderId="2" xfId="5" applyNumberFormat="1" applyFont="1" applyFill="1" applyBorder="1" applyAlignment="1">
      <alignment horizontal="center" vertical="center" wrapText="1"/>
    </xf>
    <xf numFmtId="165" fontId="8" fillId="3" borderId="2" xfId="0" applyNumberFormat="1"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165" fontId="18" fillId="2" borderId="2" xfId="0" applyNumberFormat="1" applyFont="1" applyFill="1" applyBorder="1" applyAlignment="1">
      <alignment horizontal="center" vertical="center" wrapText="1"/>
    </xf>
    <xf numFmtId="165" fontId="24" fillId="2" borderId="2" xfId="0" applyNumberFormat="1" applyFont="1" applyFill="1" applyBorder="1" applyAlignment="1">
      <alignment horizontal="center" vertical="center" wrapText="1"/>
    </xf>
    <xf numFmtId="165" fontId="20" fillId="3" borderId="2" xfId="0" applyNumberFormat="1" applyFont="1" applyFill="1" applyBorder="1" applyAlignment="1">
      <alignment horizontal="center" vertical="center" wrapText="1"/>
    </xf>
    <xf numFmtId="165" fontId="21" fillId="2" borderId="2" xfId="0" applyNumberFormat="1" applyFont="1" applyFill="1" applyBorder="1" applyAlignment="1">
      <alignment horizontal="center" vertical="center" wrapText="1"/>
    </xf>
    <xf numFmtId="165" fontId="22" fillId="2" borderId="2" xfId="0" applyNumberFormat="1" applyFont="1" applyFill="1" applyBorder="1" applyAlignment="1">
      <alignment horizontal="center" vertical="center" wrapText="1"/>
    </xf>
    <xf numFmtId="165" fontId="10" fillId="0" borderId="2" xfId="0" applyNumberFormat="1" applyFont="1" applyBorder="1" applyAlignment="1">
      <alignment horizontal="center" vertical="center" wrapText="1"/>
    </xf>
    <xf numFmtId="165" fontId="11" fillId="3" borderId="2" xfId="0" applyNumberFormat="1" applyFont="1" applyFill="1" applyBorder="1" applyAlignment="1">
      <alignment horizontal="center" vertical="center" wrapText="1"/>
    </xf>
    <xf numFmtId="165" fontId="10" fillId="2" borderId="2" xfId="0" applyNumberFormat="1" applyFont="1" applyFill="1" applyBorder="1" applyAlignment="1">
      <alignment horizontal="center" vertical="center" wrapText="1"/>
    </xf>
    <xf numFmtId="165" fontId="5" fillId="2" borderId="2" xfId="0" applyNumberFormat="1" applyFont="1" applyFill="1" applyBorder="1" applyAlignment="1" applyProtection="1">
      <alignment horizontal="center" vertical="center" wrapText="1"/>
    </xf>
    <xf numFmtId="165" fontId="6" fillId="2" borderId="2" xfId="0" applyNumberFormat="1" applyFont="1" applyFill="1" applyBorder="1" applyAlignment="1" applyProtection="1">
      <alignment horizontal="center" vertical="center" wrapText="1"/>
    </xf>
    <xf numFmtId="165" fontId="5" fillId="3" borderId="2" xfId="0" applyNumberFormat="1" applyFont="1" applyFill="1" applyBorder="1" applyAlignment="1" applyProtection="1">
      <alignment horizontal="center" vertical="center" wrapText="1"/>
    </xf>
    <xf numFmtId="165" fontId="6" fillId="4" borderId="2" xfId="0" applyNumberFormat="1" applyFont="1" applyFill="1" applyBorder="1" applyAlignment="1" applyProtection="1">
      <alignment horizontal="center" vertical="center" wrapText="1"/>
    </xf>
    <xf numFmtId="165" fontId="5" fillId="4" borderId="2" xfId="0" applyNumberFormat="1" applyFont="1" applyFill="1" applyBorder="1" applyAlignment="1" applyProtection="1">
      <alignment horizontal="center" vertical="center" wrapText="1"/>
    </xf>
    <xf numFmtId="165" fontId="8" fillId="2" borderId="3" xfId="0" applyNumberFormat="1" applyFont="1" applyFill="1" applyBorder="1" applyAlignment="1">
      <alignment horizontal="center" vertical="center" wrapText="1"/>
    </xf>
    <xf numFmtId="4" fontId="10" fillId="0" borderId="0" xfId="0" applyNumberFormat="1" applyFont="1" applyAlignment="1">
      <alignment horizontal="center" vertical="center" wrapText="1"/>
    </xf>
    <xf numFmtId="164" fontId="5" fillId="3" borderId="2" xfId="0" applyNumberFormat="1" applyFont="1" applyFill="1" applyBorder="1" applyAlignment="1">
      <alignment horizontal="center" vertical="center" wrapText="1"/>
    </xf>
    <xf numFmtId="4" fontId="5" fillId="0" borderId="2" xfId="0" applyNumberFormat="1" applyFont="1" applyBorder="1" applyAlignment="1">
      <alignment horizontal="center" vertical="center" wrapText="1"/>
    </xf>
    <xf numFmtId="164" fontId="5" fillId="2" borderId="2" xfId="0" applyNumberFormat="1" applyFont="1" applyFill="1" applyBorder="1" applyAlignment="1">
      <alignment horizontal="center" vertical="center" wrapText="1"/>
    </xf>
    <xf numFmtId="4" fontId="5" fillId="3" borderId="2" xfId="0" applyNumberFormat="1"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65" fontId="6" fillId="6" borderId="2" xfId="0" applyNumberFormat="1" applyFont="1" applyFill="1" applyBorder="1" applyAlignment="1">
      <alignment horizontal="center" vertical="center" wrapText="1"/>
    </xf>
    <xf numFmtId="165" fontId="13" fillId="2" borderId="2" xfId="0" applyNumberFormat="1" applyFont="1" applyFill="1" applyBorder="1" applyAlignment="1">
      <alignment horizontal="center" vertical="center" wrapText="1"/>
    </xf>
    <xf numFmtId="165" fontId="13" fillId="0" borderId="0" xfId="0" applyNumberFormat="1" applyFont="1" applyAlignment="1">
      <alignment horizontal="left" vertical="center" wrapText="1"/>
    </xf>
    <xf numFmtId="165" fontId="11" fillId="0" borderId="0" xfId="0" applyNumberFormat="1" applyFont="1" applyAlignment="1">
      <alignment horizontal="center" vertical="center" wrapText="1"/>
    </xf>
    <xf numFmtId="165" fontId="11" fillId="0" borderId="2" xfId="0" applyNumberFormat="1" applyFont="1" applyBorder="1" applyAlignment="1">
      <alignment horizontal="center" vertical="center" wrapText="1"/>
    </xf>
    <xf numFmtId="165" fontId="11" fillId="2" borderId="2" xfId="0" applyNumberFormat="1" applyFont="1" applyFill="1" applyBorder="1" applyAlignment="1">
      <alignment horizontal="center" vertical="center" wrapText="1"/>
    </xf>
    <xf numFmtId="165" fontId="7" fillId="2" borderId="2" xfId="0" applyNumberFormat="1" applyFont="1" applyFill="1" applyBorder="1" applyAlignment="1">
      <alignment horizontal="center" vertical="center" wrapText="1"/>
    </xf>
    <xf numFmtId="165" fontId="49" fillId="2" borderId="2" xfId="0" applyNumberFormat="1" applyFont="1" applyFill="1" applyBorder="1" applyAlignment="1">
      <alignment horizontal="center" vertical="center" wrapText="1"/>
    </xf>
    <xf numFmtId="165" fontId="8" fillId="2" borderId="2" xfId="0" applyNumberFormat="1" applyFont="1" applyFill="1" applyBorder="1" applyAlignment="1">
      <alignment horizontal="center" vertical="center" wrapText="1"/>
    </xf>
    <xf numFmtId="169" fontId="10" fillId="2" borderId="2" xfId="5" applyNumberFormat="1" applyFont="1" applyFill="1" applyBorder="1" applyAlignment="1">
      <alignment vertical="center" wrapText="1"/>
    </xf>
    <xf numFmtId="49" fontId="10" fillId="2" borderId="2" xfId="0" applyNumberFormat="1" applyFont="1" applyFill="1" applyBorder="1" applyAlignment="1">
      <alignment horizontal="left" vertical="center" wrapText="1"/>
    </xf>
    <xf numFmtId="169" fontId="6" fillId="2" borderId="2" xfId="5" applyNumberFormat="1" applyFont="1" applyFill="1" applyBorder="1" applyAlignment="1">
      <alignment wrapText="1"/>
    </xf>
    <xf numFmtId="169" fontId="10" fillId="2" borderId="2" xfId="5"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49" fontId="12" fillId="0" borderId="0" xfId="0" applyNumberFormat="1" applyFont="1" applyAlignment="1">
      <alignment horizontal="center" vertical="center" wrapText="1"/>
    </xf>
    <xf numFmtId="49" fontId="5" fillId="0" borderId="1"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0" fontId="50" fillId="0" borderId="1" xfId="0" applyFont="1" applyBorder="1" applyAlignment="1">
      <alignment horizontal="center" vertical="center" wrapText="1"/>
    </xf>
    <xf numFmtId="0" fontId="50"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165" fontId="11" fillId="0" borderId="2" xfId="0" applyNumberFormat="1" applyFont="1" applyBorder="1" applyAlignment="1">
      <alignment horizontal="center" vertical="center" wrapText="1"/>
    </xf>
    <xf numFmtId="0" fontId="34" fillId="2" borderId="0" xfId="6" applyFont="1" applyFill="1" applyAlignment="1">
      <alignment horizontal="center" vertical="center" wrapText="1" shrinkToFit="1"/>
    </xf>
    <xf numFmtId="0" fontId="29" fillId="2" borderId="0" xfId="6" applyFont="1" applyFill="1" applyAlignment="1">
      <alignment horizontal="center" vertical="center"/>
    </xf>
    <xf numFmtId="0" fontId="10" fillId="0" borderId="2" xfId="0" applyFont="1" applyBorder="1" applyAlignment="1">
      <alignment horizontal="justify" vertical="center"/>
    </xf>
  </cellXfs>
  <cellStyles count="9">
    <cellStyle name="Обычный" xfId="0" builtinId="0"/>
    <cellStyle name="Обычный 10 2" xfId="6" xr:uid="{D31E751C-D938-438D-8108-2408B6574B3F}"/>
    <cellStyle name="Обычный 16" xfId="2" xr:uid="{00000000-0005-0000-0000-000001000000}"/>
    <cellStyle name="Обычный 2 23 4 2 2 2 2 2" xfId="7" xr:uid="{6E3739D2-7891-4EF1-BA21-BBAB5470F0A4}"/>
    <cellStyle name="Обычный 2 3 25" xfId="1" xr:uid="{00000000-0005-0000-0000-000002000000}"/>
    <cellStyle name="Обычный 2 3 25 2" xfId="4" xr:uid="{00000000-0005-0000-0000-000003000000}"/>
    <cellStyle name="Обычный 2 3 25 3" xfId="3" xr:uid="{00000000-0005-0000-0000-000004000000}"/>
    <cellStyle name="Обычный_2_ОСНОВНЫЕ ПАРАМЕТРЫ" xfId="8" xr:uid="{2AE69437-703A-40FF-BFAF-525E8419B12F}"/>
    <cellStyle name="Финансовый" xfId="5"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4018086</xdr:colOff>
      <xdr:row>0</xdr:row>
      <xdr:rowOff>85725</xdr:rowOff>
    </xdr:from>
    <xdr:ext cx="2563689" cy="390525"/>
    <xdr:sp macro="" textlink="">
      <xdr:nvSpPr>
        <xdr:cNvPr id="2" name="Текст 3">
          <a:extLst>
            <a:ext uri="{FF2B5EF4-FFF2-40B4-BE49-F238E27FC236}">
              <a16:creationId xmlns:a16="http://schemas.microsoft.com/office/drawing/2014/main" id="{C4BFFA67-10EC-42A8-AC3F-0591E77EB04F}"/>
            </a:ext>
          </a:extLst>
        </xdr:cNvPr>
        <xdr:cNvSpPr txBox="1">
          <a:spLocks noChangeArrowheads="1"/>
        </xdr:cNvSpPr>
      </xdr:nvSpPr>
      <xdr:spPr bwMode="auto">
        <a:xfrm>
          <a:off x="4360986" y="85725"/>
          <a:ext cx="2563689" cy="390525"/>
        </a:xfrm>
        <a:prstGeom prst="rect">
          <a:avLst/>
        </a:prstGeom>
        <a:solidFill>
          <a:srgbClr val="FFFFFF"/>
        </a:solidFill>
        <a:ln w="1">
          <a:solidFill>
            <a:srgbClr val="FFFFFF"/>
          </a:solidFill>
          <a:miter lim="800000"/>
          <a:headEnd/>
          <a:tailEnd/>
        </a:ln>
      </xdr:spPr>
      <xdr:txBody>
        <a:bodyPr wrap="none" lIns="27432" tIns="27432" rIns="27432" bIns="0" anchor="t">
          <a:noAutofit/>
        </a:bodyPr>
        <a:lstStyle/>
        <a:p>
          <a:pPr algn="r" rtl="0"/>
          <a:r>
            <a:rPr lang="en-US" sz="1200" b="0" i="0" baseline="0">
              <a:effectLst/>
              <a:latin typeface="Times New Roman" panose="02020603050405020304" pitchFamily="18" charset="0"/>
              <a:ea typeface="+mn-ea"/>
              <a:cs typeface="Times New Roman" panose="02020603050405020304" pitchFamily="18" charset="0"/>
            </a:rPr>
            <a:t>Ilova</a:t>
          </a:r>
          <a:r>
            <a:rPr lang="uz-Cyrl-UZ" sz="1200" b="0" i="0" baseline="0">
              <a:effectLst/>
              <a:latin typeface="Times New Roman" panose="02020603050405020304" pitchFamily="18" charset="0"/>
              <a:ea typeface="+mn-ea"/>
              <a:cs typeface="Times New Roman" panose="02020603050405020304" pitchFamily="18" charset="0"/>
            </a:rPr>
            <a:t> </a:t>
          </a:r>
          <a:endParaRPr lang="ru-RU" sz="1200" b="0" i="0" baseline="0">
            <a:effectLst/>
            <a:latin typeface="Times New Roman" panose="02020603050405020304" pitchFamily="18" charset="0"/>
            <a:ea typeface="+mn-ea"/>
            <a:cs typeface="Times New Roman" panose="02020603050405020304" pitchFamily="18" charset="0"/>
          </a:endParaRP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5"/>
  <sheetViews>
    <sheetView tabSelected="1" view="pageBreakPreview" topLeftCell="A166" zoomScale="89" zoomScaleNormal="89" zoomScaleSheetLayoutView="89" workbookViewId="0">
      <selection activeCell="E192" sqref="E192"/>
    </sheetView>
  </sheetViews>
  <sheetFormatPr defaultRowHeight="15" x14ac:dyDescent="0.25"/>
  <cols>
    <col min="1" max="1" width="6" style="18" customWidth="1"/>
    <col min="2" max="2" width="76.42578125" style="7" customWidth="1"/>
    <col min="3" max="3" width="9.5703125" style="7" customWidth="1"/>
    <col min="4" max="4" width="9.140625" style="204"/>
    <col min="5" max="5" width="11.28515625" style="192" customWidth="1"/>
    <col min="6" max="6" width="13.28515625" style="170" customWidth="1"/>
    <col min="7" max="7" width="11.42578125" style="170" customWidth="1"/>
    <col min="8" max="8" width="9.5703125" style="170" customWidth="1"/>
    <col min="9" max="9" width="60.42578125" style="7" customWidth="1"/>
    <col min="10" max="16384" width="9.140625" style="8"/>
  </cols>
  <sheetData>
    <row r="1" spans="1:10" ht="47.25" customHeight="1" x14ac:dyDescent="0.25">
      <c r="A1" s="219" t="s">
        <v>435</v>
      </c>
      <c r="B1" s="219"/>
      <c r="C1" s="219"/>
      <c r="D1" s="219"/>
      <c r="E1" s="219"/>
      <c r="F1" s="219"/>
      <c r="G1" s="219"/>
      <c r="H1" s="219"/>
      <c r="I1" s="219"/>
    </row>
    <row r="2" spans="1:10" ht="15" customHeight="1" x14ac:dyDescent="0.25"/>
    <row r="3" spans="1:10" ht="18" customHeight="1" x14ac:dyDescent="0.25">
      <c r="A3" s="220" t="s">
        <v>0</v>
      </c>
      <c r="B3" s="222" t="s">
        <v>3</v>
      </c>
      <c r="C3" s="224" t="s">
        <v>4</v>
      </c>
      <c r="D3" s="226" t="s">
        <v>128</v>
      </c>
      <c r="E3" s="214" t="s">
        <v>422</v>
      </c>
      <c r="F3" s="215"/>
      <c r="G3" s="215"/>
      <c r="H3" s="216"/>
      <c r="I3" s="217" t="s">
        <v>417</v>
      </c>
    </row>
    <row r="4" spans="1:10" s="10" customFormat="1" ht="42" customHeight="1" x14ac:dyDescent="0.25">
      <c r="A4" s="221"/>
      <c r="B4" s="223"/>
      <c r="C4" s="225"/>
      <c r="D4" s="226"/>
      <c r="E4" s="163" t="s">
        <v>418</v>
      </c>
      <c r="F4" s="162" t="s">
        <v>419</v>
      </c>
      <c r="G4" s="191" t="s">
        <v>420</v>
      </c>
      <c r="H4" s="162" t="s">
        <v>421</v>
      </c>
      <c r="I4" s="218"/>
    </row>
    <row r="5" spans="1:10" ht="29.25" customHeight="1" x14ac:dyDescent="0.25">
      <c r="A5" s="11"/>
      <c r="B5" s="4" t="s">
        <v>1</v>
      </c>
      <c r="C5" s="4" t="s">
        <v>6</v>
      </c>
      <c r="D5" s="184">
        <v>5093.7</v>
      </c>
      <c r="E5" s="193">
        <v>5093.7</v>
      </c>
      <c r="F5" s="171">
        <v>907.34349999999995</v>
      </c>
      <c r="G5" s="171">
        <f>+F5-E5</f>
        <v>-4186.3564999999999</v>
      </c>
      <c r="H5" s="171">
        <f>+F5/E5*100</f>
        <v>17.813053379665075</v>
      </c>
      <c r="I5" s="4"/>
    </row>
    <row r="6" spans="1:10" ht="69" customHeight="1" x14ac:dyDescent="0.25">
      <c r="A6" s="5"/>
      <c r="B6" s="1" t="s">
        <v>103</v>
      </c>
      <c r="C6" s="1"/>
      <c r="D6" s="205"/>
      <c r="E6" s="194"/>
      <c r="F6" s="172"/>
      <c r="G6" s="173"/>
      <c r="H6" s="173"/>
      <c r="I6" s="1"/>
    </row>
    <row r="7" spans="1:10" ht="28.5" customHeight="1" x14ac:dyDescent="0.25">
      <c r="A7" s="5"/>
      <c r="B7" s="1" t="s">
        <v>5</v>
      </c>
      <c r="C7" s="2" t="s">
        <v>6</v>
      </c>
      <c r="D7" s="205">
        <v>3182.4</v>
      </c>
      <c r="E7" s="195">
        <v>3182.4</v>
      </c>
      <c r="F7" s="173">
        <v>124.7</v>
      </c>
      <c r="G7" s="173">
        <f t="shared" ref="G7:G61" si="0">+F7-E7</f>
        <v>-3057.7000000000003</v>
      </c>
      <c r="H7" s="173">
        <f t="shared" ref="H7:H61" si="1">+F7/E7*100</f>
        <v>3.918426344896933</v>
      </c>
      <c r="I7" s="2"/>
      <c r="J7" s="203"/>
    </row>
    <row r="8" spans="1:10" ht="60" customHeight="1" x14ac:dyDescent="0.25">
      <c r="A8" s="11" t="s">
        <v>394</v>
      </c>
      <c r="B8" s="4" t="s">
        <v>102</v>
      </c>
      <c r="C8" s="4" t="s">
        <v>6</v>
      </c>
      <c r="D8" s="184">
        <v>242</v>
      </c>
      <c r="E8" s="196">
        <v>242</v>
      </c>
      <c r="F8" s="171">
        <v>99.930700000000002</v>
      </c>
      <c r="G8" s="171">
        <f t="shared" si="0"/>
        <v>-142.0693</v>
      </c>
      <c r="H8" s="171">
        <f t="shared" si="1"/>
        <v>41.293677685950414</v>
      </c>
      <c r="I8" s="4"/>
    </row>
    <row r="9" spans="1:10" s="9" customFormat="1" ht="27" customHeight="1" x14ac:dyDescent="0.25">
      <c r="A9" s="6"/>
      <c r="B9" s="2" t="s">
        <v>7</v>
      </c>
      <c r="C9" s="2"/>
      <c r="D9" s="206"/>
      <c r="E9" s="197"/>
      <c r="F9" s="173"/>
      <c r="G9" s="173"/>
      <c r="H9" s="173"/>
      <c r="I9" s="2"/>
    </row>
    <row r="10" spans="1:10" s="9" customFormat="1" ht="21.75" customHeight="1" x14ac:dyDescent="0.25">
      <c r="A10" s="6"/>
      <c r="B10" s="2" t="s">
        <v>8</v>
      </c>
      <c r="C10" s="2"/>
      <c r="D10" s="206"/>
      <c r="E10" s="197"/>
      <c r="F10" s="173"/>
      <c r="G10" s="173"/>
      <c r="H10" s="173"/>
      <c r="I10" s="2"/>
    </row>
    <row r="11" spans="1:10" s="9" customFormat="1" ht="21" customHeight="1" x14ac:dyDescent="0.25">
      <c r="A11" s="6"/>
      <c r="B11" s="3" t="s">
        <v>104</v>
      </c>
      <c r="C11" s="3" t="s">
        <v>92</v>
      </c>
      <c r="D11" s="185">
        <v>95</v>
      </c>
      <c r="E11" s="198">
        <f>+D11</f>
        <v>95</v>
      </c>
      <c r="F11" s="174">
        <v>98.5</v>
      </c>
      <c r="G11" s="173">
        <f t="shared" si="0"/>
        <v>3.5</v>
      </c>
      <c r="H11" s="173">
        <f t="shared" si="1"/>
        <v>103.68421052631578</v>
      </c>
      <c r="I11" s="3"/>
    </row>
    <row r="12" spans="1:10" s="9" customFormat="1" x14ac:dyDescent="0.25">
      <c r="A12" s="6"/>
      <c r="B12" s="2" t="s">
        <v>9</v>
      </c>
      <c r="C12" s="2"/>
      <c r="D12" s="185"/>
      <c r="E12" s="198"/>
      <c r="F12" s="173"/>
      <c r="G12" s="173"/>
      <c r="H12" s="173"/>
      <c r="I12" s="2"/>
    </row>
    <row r="13" spans="1:10" s="9" customFormat="1" ht="22.5" customHeight="1" x14ac:dyDescent="0.25">
      <c r="A13" s="6"/>
      <c r="B13" s="3" t="s">
        <v>17</v>
      </c>
      <c r="C13" s="3" t="s">
        <v>91</v>
      </c>
      <c r="D13" s="159">
        <v>1055000</v>
      </c>
      <c r="E13" s="199">
        <f t="shared" ref="E13:E74" si="2">+D13</f>
        <v>1055000</v>
      </c>
      <c r="F13" s="169">
        <v>1040000</v>
      </c>
      <c r="G13" s="173">
        <f t="shared" si="0"/>
        <v>-15000</v>
      </c>
      <c r="H13" s="173">
        <f t="shared" si="1"/>
        <v>98.578199052132703</v>
      </c>
      <c r="I13" s="3"/>
    </row>
    <row r="14" spans="1:10" ht="57.75" customHeight="1" x14ac:dyDescent="0.25">
      <c r="A14" s="11" t="s">
        <v>395</v>
      </c>
      <c r="B14" s="4" t="s">
        <v>18</v>
      </c>
      <c r="C14" s="4" t="s">
        <v>6</v>
      </c>
      <c r="D14" s="184">
        <v>150.4</v>
      </c>
      <c r="E14" s="200">
        <f t="shared" si="2"/>
        <v>150.4</v>
      </c>
      <c r="F14" s="171">
        <v>0</v>
      </c>
      <c r="G14" s="171">
        <f t="shared" si="0"/>
        <v>-150.4</v>
      </c>
      <c r="H14" s="171">
        <f t="shared" si="1"/>
        <v>0</v>
      </c>
      <c r="I14" s="4"/>
    </row>
    <row r="15" spans="1:10" s="9" customFormat="1" ht="38.25" x14ac:dyDescent="0.25">
      <c r="A15" s="6"/>
      <c r="B15" s="2" t="s">
        <v>19</v>
      </c>
      <c r="C15" s="2"/>
      <c r="D15" s="206"/>
      <c r="E15" s="198"/>
      <c r="F15" s="173"/>
      <c r="G15" s="173"/>
      <c r="H15" s="173"/>
      <c r="I15" s="2"/>
    </row>
    <row r="16" spans="1:10" s="9" customFormat="1" x14ac:dyDescent="0.25">
      <c r="A16" s="6"/>
      <c r="B16" s="2" t="s">
        <v>8</v>
      </c>
      <c r="C16" s="2"/>
      <c r="D16" s="206"/>
      <c r="E16" s="198"/>
      <c r="F16" s="173"/>
      <c r="G16" s="173"/>
      <c r="H16" s="173"/>
      <c r="I16" s="2"/>
    </row>
    <row r="17" spans="1:9" s="9" customFormat="1" ht="21" customHeight="1" x14ac:dyDescent="0.25">
      <c r="A17" s="6"/>
      <c r="B17" s="3" t="s">
        <v>10</v>
      </c>
      <c r="C17" s="3" t="s">
        <v>91</v>
      </c>
      <c r="D17" s="159">
        <v>245</v>
      </c>
      <c r="E17" s="199">
        <f t="shared" si="2"/>
        <v>245</v>
      </c>
      <c r="F17" s="174">
        <v>42</v>
      </c>
      <c r="G17" s="173">
        <f t="shared" si="0"/>
        <v>-203</v>
      </c>
      <c r="H17" s="173">
        <f t="shared" si="1"/>
        <v>17.142857142857142</v>
      </c>
      <c r="I17" s="3"/>
    </row>
    <row r="18" spans="1:9" s="9" customFormat="1" ht="20.25" customHeight="1" x14ac:dyDescent="0.25">
      <c r="A18" s="6"/>
      <c r="B18" s="3" t="s">
        <v>12</v>
      </c>
      <c r="C18" s="3" t="s">
        <v>91</v>
      </c>
      <c r="D18" s="159">
        <v>4600</v>
      </c>
      <c r="E18" s="199">
        <f t="shared" si="2"/>
        <v>4600</v>
      </c>
      <c r="F18" s="174">
        <v>1792</v>
      </c>
      <c r="G18" s="173">
        <f t="shared" si="0"/>
        <v>-2808</v>
      </c>
      <c r="H18" s="173">
        <f t="shared" si="1"/>
        <v>38.956521739130437</v>
      </c>
      <c r="I18" s="3"/>
    </row>
    <row r="19" spans="1:9" s="9" customFormat="1" x14ac:dyDescent="0.25">
      <c r="A19" s="6"/>
      <c r="B19" s="2" t="s">
        <v>9</v>
      </c>
      <c r="C19" s="2" t="s">
        <v>2</v>
      </c>
      <c r="D19" s="164"/>
      <c r="E19" s="198"/>
      <c r="F19" s="173"/>
      <c r="G19" s="173"/>
      <c r="H19" s="173"/>
      <c r="I19" s="2"/>
    </row>
    <row r="20" spans="1:9" s="9" customFormat="1" ht="21.75" customHeight="1" x14ac:dyDescent="0.25">
      <c r="A20" s="6"/>
      <c r="B20" s="3" t="s">
        <v>11</v>
      </c>
      <c r="C20" s="3" t="s">
        <v>91</v>
      </c>
      <c r="D20" s="159">
        <v>833000</v>
      </c>
      <c r="E20" s="199">
        <f t="shared" si="2"/>
        <v>833000</v>
      </c>
      <c r="F20" s="174">
        <v>193210</v>
      </c>
      <c r="G20" s="173">
        <f t="shared" si="0"/>
        <v>-639790</v>
      </c>
      <c r="H20" s="173">
        <f t="shared" si="1"/>
        <v>23.194477791116448</v>
      </c>
      <c r="I20" s="3"/>
    </row>
    <row r="21" spans="1:9" s="9" customFormat="1" ht="21.75" customHeight="1" x14ac:dyDescent="0.25">
      <c r="A21" s="6"/>
      <c r="B21" s="3" t="s">
        <v>13</v>
      </c>
      <c r="C21" s="3" t="s">
        <v>91</v>
      </c>
      <c r="D21" s="159">
        <v>275000</v>
      </c>
      <c r="E21" s="199">
        <f t="shared" si="2"/>
        <v>275000</v>
      </c>
      <c r="F21" s="174">
        <v>38616</v>
      </c>
      <c r="G21" s="173">
        <f t="shared" si="0"/>
        <v>-236384</v>
      </c>
      <c r="H21" s="173">
        <f t="shared" si="1"/>
        <v>14.042181818181817</v>
      </c>
      <c r="I21" s="3"/>
    </row>
    <row r="22" spans="1:9" ht="51.75" customHeight="1" x14ac:dyDescent="0.25">
      <c r="A22" s="11" t="s">
        <v>396</v>
      </c>
      <c r="B22" s="4" t="s">
        <v>20</v>
      </c>
      <c r="C22" s="4" t="s">
        <v>6</v>
      </c>
      <c r="D22" s="184">
        <v>176</v>
      </c>
      <c r="E22" s="200">
        <f t="shared" si="2"/>
        <v>176</v>
      </c>
      <c r="F22" s="171">
        <v>0</v>
      </c>
      <c r="G22" s="171">
        <f t="shared" si="0"/>
        <v>-176</v>
      </c>
      <c r="H22" s="171">
        <f t="shared" si="1"/>
        <v>0</v>
      </c>
      <c r="I22" s="4"/>
    </row>
    <row r="23" spans="1:9" s="9" customFormat="1" ht="45.75" customHeight="1" x14ac:dyDescent="0.25">
      <c r="A23" s="6"/>
      <c r="B23" s="3" t="s">
        <v>14</v>
      </c>
      <c r="C23" s="2"/>
      <c r="D23" s="206"/>
      <c r="E23" s="198"/>
      <c r="F23" s="173"/>
      <c r="G23" s="173"/>
      <c r="H23" s="173"/>
      <c r="I23" s="2"/>
    </row>
    <row r="24" spans="1:9" s="9" customFormat="1" ht="16.5" customHeight="1" x14ac:dyDescent="0.25">
      <c r="A24" s="6"/>
      <c r="B24" s="3" t="s">
        <v>15</v>
      </c>
      <c r="C24" s="3" t="s">
        <v>92</v>
      </c>
      <c r="D24" s="185">
        <v>17</v>
      </c>
      <c r="E24" s="198">
        <f t="shared" si="2"/>
        <v>17</v>
      </c>
      <c r="F24" s="174">
        <v>16.5</v>
      </c>
      <c r="G24" s="173">
        <f t="shared" si="0"/>
        <v>-0.5</v>
      </c>
      <c r="H24" s="173">
        <f t="shared" si="1"/>
        <v>97.058823529411768</v>
      </c>
      <c r="I24" s="3"/>
    </row>
    <row r="25" spans="1:9" s="9" customFormat="1" ht="24.75" customHeight="1" x14ac:dyDescent="0.25">
      <c r="A25" s="6"/>
      <c r="B25" s="2" t="s">
        <v>9</v>
      </c>
      <c r="C25" s="2"/>
      <c r="D25" s="206"/>
      <c r="E25" s="198"/>
      <c r="F25" s="173"/>
      <c r="G25" s="173"/>
      <c r="H25" s="173"/>
      <c r="I25" s="2"/>
    </row>
    <row r="26" spans="1:9" s="9" customFormat="1" ht="17.25" customHeight="1" x14ac:dyDescent="0.25">
      <c r="A26" s="6"/>
      <c r="B26" s="3" t="s">
        <v>16</v>
      </c>
      <c r="C26" s="3" t="s">
        <v>91</v>
      </c>
      <c r="D26" s="159">
        <v>9315324</v>
      </c>
      <c r="E26" s="199">
        <f t="shared" si="2"/>
        <v>9315324</v>
      </c>
      <c r="F26" s="175">
        <v>9310286</v>
      </c>
      <c r="G26" s="173">
        <f t="shared" si="0"/>
        <v>-5038</v>
      </c>
      <c r="H26" s="173">
        <f t="shared" si="1"/>
        <v>99.945917071698204</v>
      </c>
      <c r="I26" s="3"/>
    </row>
    <row r="27" spans="1:9" ht="35.25" customHeight="1" x14ac:dyDescent="0.25">
      <c r="A27" s="11" t="s">
        <v>397</v>
      </c>
      <c r="B27" s="4" t="s">
        <v>21</v>
      </c>
      <c r="C27" s="4" t="s">
        <v>6</v>
      </c>
      <c r="D27" s="184">
        <v>166.4</v>
      </c>
      <c r="E27" s="200">
        <f t="shared" si="2"/>
        <v>166.4</v>
      </c>
      <c r="F27" s="171">
        <v>0</v>
      </c>
      <c r="G27" s="171">
        <f t="shared" si="0"/>
        <v>-166.4</v>
      </c>
      <c r="H27" s="171">
        <f t="shared" si="1"/>
        <v>0</v>
      </c>
      <c r="I27" s="4"/>
    </row>
    <row r="28" spans="1:9" s="9" customFormat="1" ht="75" customHeight="1" x14ac:dyDescent="0.25">
      <c r="A28" s="6"/>
      <c r="B28" s="2" t="s">
        <v>22</v>
      </c>
      <c r="C28" s="2"/>
      <c r="D28" s="206"/>
      <c r="E28" s="198"/>
      <c r="F28" s="173"/>
      <c r="G28" s="173"/>
      <c r="H28" s="173"/>
      <c r="I28" s="2"/>
    </row>
    <row r="29" spans="1:9" s="9" customFormat="1" x14ac:dyDescent="0.25">
      <c r="A29" s="6"/>
      <c r="B29" s="2" t="s">
        <v>8</v>
      </c>
      <c r="C29" s="2"/>
      <c r="D29" s="206"/>
      <c r="E29" s="198"/>
      <c r="F29" s="173"/>
      <c r="G29" s="173"/>
      <c r="H29" s="173"/>
      <c r="I29" s="2"/>
    </row>
    <row r="30" spans="1:9" s="9" customFormat="1" x14ac:dyDescent="0.25">
      <c r="A30" s="6"/>
      <c r="B30" s="3" t="s">
        <v>23</v>
      </c>
      <c r="C30" s="3" t="s">
        <v>92</v>
      </c>
      <c r="D30" s="185">
        <v>47</v>
      </c>
      <c r="E30" s="198">
        <f t="shared" si="2"/>
        <v>47</v>
      </c>
      <c r="F30" s="174">
        <v>50</v>
      </c>
      <c r="G30" s="173">
        <f t="shared" si="0"/>
        <v>3</v>
      </c>
      <c r="H30" s="173">
        <f t="shared" si="1"/>
        <v>106.38297872340425</v>
      </c>
      <c r="I30" s="3"/>
    </row>
    <row r="31" spans="1:9" s="9" customFormat="1" ht="18" customHeight="1" x14ac:dyDescent="0.25">
      <c r="A31" s="6"/>
      <c r="B31" s="3" t="s">
        <v>24</v>
      </c>
      <c r="C31" s="3" t="s">
        <v>92</v>
      </c>
      <c r="D31" s="185">
        <v>40</v>
      </c>
      <c r="E31" s="198">
        <f t="shared" si="2"/>
        <v>40</v>
      </c>
      <c r="F31" s="174">
        <v>41</v>
      </c>
      <c r="G31" s="173">
        <f t="shared" si="0"/>
        <v>1</v>
      </c>
      <c r="H31" s="173">
        <f t="shared" si="1"/>
        <v>102.49999999999999</v>
      </c>
      <c r="I31" s="3"/>
    </row>
    <row r="32" spans="1:9" s="9" customFormat="1" x14ac:dyDescent="0.25">
      <c r="A32" s="6"/>
      <c r="B32" s="2" t="s">
        <v>9</v>
      </c>
      <c r="C32" s="2"/>
      <c r="D32" s="185"/>
      <c r="E32" s="198"/>
      <c r="F32" s="173"/>
      <c r="G32" s="173"/>
      <c r="H32" s="173"/>
      <c r="I32" s="2"/>
    </row>
    <row r="33" spans="1:9" s="9" customFormat="1" ht="13.5" customHeight="1" x14ac:dyDescent="0.25">
      <c r="A33" s="6"/>
      <c r="B33" s="3" t="s">
        <v>25</v>
      </c>
      <c r="C33" s="3" t="s">
        <v>91</v>
      </c>
      <c r="D33" s="159">
        <v>12400</v>
      </c>
      <c r="E33" s="199">
        <f t="shared" si="2"/>
        <v>12400</v>
      </c>
      <c r="F33" s="174">
        <v>1200</v>
      </c>
      <c r="G33" s="173">
        <f t="shared" si="0"/>
        <v>-11200</v>
      </c>
      <c r="H33" s="173">
        <f t="shared" si="1"/>
        <v>9.67741935483871</v>
      </c>
      <c r="I33" s="3"/>
    </row>
    <row r="34" spans="1:9" s="9" customFormat="1" x14ac:dyDescent="0.25">
      <c r="A34" s="6"/>
      <c r="B34" s="3" t="s">
        <v>26</v>
      </c>
      <c r="C34" s="3" t="s">
        <v>91</v>
      </c>
      <c r="D34" s="159">
        <v>44500</v>
      </c>
      <c r="E34" s="199">
        <f t="shared" si="2"/>
        <v>44500</v>
      </c>
      <c r="F34" s="174">
        <v>500</v>
      </c>
      <c r="G34" s="173">
        <f t="shared" si="0"/>
        <v>-44000</v>
      </c>
      <c r="H34" s="173">
        <f t="shared" si="1"/>
        <v>1.1235955056179776</v>
      </c>
      <c r="I34" s="3"/>
    </row>
    <row r="35" spans="1:9" s="9" customFormat="1" ht="54" customHeight="1" x14ac:dyDescent="0.25">
      <c r="A35" s="11" t="s">
        <v>398</v>
      </c>
      <c r="B35" s="4" t="s">
        <v>27</v>
      </c>
      <c r="C35" s="4" t="s">
        <v>6</v>
      </c>
      <c r="D35" s="184">
        <v>241.8</v>
      </c>
      <c r="E35" s="200">
        <f t="shared" si="2"/>
        <v>241.8</v>
      </c>
      <c r="F35" s="171">
        <v>0</v>
      </c>
      <c r="G35" s="171">
        <f t="shared" si="0"/>
        <v>-241.8</v>
      </c>
      <c r="H35" s="171">
        <f t="shared" si="1"/>
        <v>0</v>
      </c>
      <c r="I35" s="4"/>
    </row>
    <row r="36" spans="1:9" s="9" customFormat="1" ht="51" customHeight="1" x14ac:dyDescent="0.25">
      <c r="A36" s="6"/>
      <c r="B36" s="2" t="s">
        <v>120</v>
      </c>
      <c r="C36" s="2"/>
      <c r="D36" s="206"/>
      <c r="E36" s="198"/>
      <c r="F36" s="173"/>
      <c r="G36" s="173"/>
      <c r="H36" s="173"/>
      <c r="I36" s="2"/>
    </row>
    <row r="37" spans="1:9" s="9" customFormat="1" ht="13.5" customHeight="1" x14ac:dyDescent="0.25">
      <c r="A37" s="6"/>
      <c r="B37" s="2" t="s">
        <v>8</v>
      </c>
      <c r="C37" s="2"/>
      <c r="D37" s="206"/>
      <c r="E37" s="198"/>
      <c r="F37" s="173"/>
      <c r="G37" s="173"/>
      <c r="H37" s="173"/>
      <c r="I37" s="2"/>
    </row>
    <row r="38" spans="1:9" s="9" customFormat="1" ht="27" customHeight="1" x14ac:dyDescent="0.25">
      <c r="A38" s="6"/>
      <c r="B38" s="3" t="s">
        <v>28</v>
      </c>
      <c r="C38" s="3" t="s">
        <v>93</v>
      </c>
      <c r="D38" s="185">
        <v>10</v>
      </c>
      <c r="E38" s="198">
        <f t="shared" si="2"/>
        <v>10</v>
      </c>
      <c r="F38" s="174">
        <v>10</v>
      </c>
      <c r="G38" s="173">
        <f t="shared" si="0"/>
        <v>0</v>
      </c>
      <c r="H38" s="173">
        <f t="shared" si="1"/>
        <v>100</v>
      </c>
      <c r="I38" s="3"/>
    </row>
    <row r="39" spans="1:9" s="9" customFormat="1" ht="15" customHeight="1" x14ac:dyDescent="0.25">
      <c r="A39" s="6"/>
      <c r="B39" s="2" t="s">
        <v>9</v>
      </c>
      <c r="C39" s="2"/>
      <c r="D39" s="173"/>
      <c r="E39" s="198"/>
      <c r="F39" s="173"/>
      <c r="G39" s="173"/>
      <c r="H39" s="173"/>
      <c r="I39" s="2"/>
    </row>
    <row r="40" spans="1:9" s="9" customFormat="1" ht="19.5" customHeight="1" x14ac:dyDescent="0.25">
      <c r="A40" s="6"/>
      <c r="B40" s="3" t="s">
        <v>376</v>
      </c>
      <c r="C40" s="3" t="s">
        <v>91</v>
      </c>
      <c r="D40" s="210">
        <v>11000</v>
      </c>
      <c r="E40" s="199">
        <f t="shared" si="2"/>
        <v>11000</v>
      </c>
      <c r="F40" s="174">
        <v>5800</v>
      </c>
      <c r="G40" s="173">
        <f t="shared" si="0"/>
        <v>-5200</v>
      </c>
      <c r="H40" s="173">
        <f t="shared" si="1"/>
        <v>52.72727272727272</v>
      </c>
      <c r="I40" s="3"/>
    </row>
    <row r="41" spans="1:9" s="9" customFormat="1" ht="32.25" customHeight="1" x14ac:dyDescent="0.25">
      <c r="A41" s="6"/>
      <c r="B41" s="3" t="s">
        <v>377</v>
      </c>
      <c r="C41" s="3" t="s">
        <v>94</v>
      </c>
      <c r="D41" s="185">
        <v>11</v>
      </c>
      <c r="E41" s="198">
        <f t="shared" si="2"/>
        <v>11</v>
      </c>
      <c r="F41" s="174">
        <v>0</v>
      </c>
      <c r="G41" s="173">
        <f t="shared" si="0"/>
        <v>-11</v>
      </c>
      <c r="H41" s="173">
        <f t="shared" si="1"/>
        <v>0</v>
      </c>
      <c r="I41" s="3" t="s">
        <v>434</v>
      </c>
    </row>
    <row r="42" spans="1:9" s="9" customFormat="1" ht="30.75" customHeight="1" x14ac:dyDescent="0.25">
      <c r="A42" s="6"/>
      <c r="B42" s="3" t="s">
        <v>29</v>
      </c>
      <c r="C42" s="3" t="s">
        <v>94</v>
      </c>
      <c r="D42" s="185">
        <v>50</v>
      </c>
      <c r="E42" s="198">
        <f t="shared" si="2"/>
        <v>50</v>
      </c>
      <c r="F42" s="174">
        <v>0</v>
      </c>
      <c r="G42" s="173">
        <f t="shared" si="0"/>
        <v>-50</v>
      </c>
      <c r="H42" s="173">
        <f t="shared" si="1"/>
        <v>0</v>
      </c>
      <c r="I42" s="3" t="s">
        <v>434</v>
      </c>
    </row>
    <row r="43" spans="1:9" ht="51.75" customHeight="1" x14ac:dyDescent="0.25">
      <c r="A43" s="44" t="s">
        <v>399</v>
      </c>
      <c r="B43" s="35" t="s">
        <v>125</v>
      </c>
      <c r="C43" s="35" t="s">
        <v>6</v>
      </c>
      <c r="D43" s="184">
        <v>96.8</v>
      </c>
      <c r="E43" s="200">
        <f t="shared" si="2"/>
        <v>96.8</v>
      </c>
      <c r="F43" s="176">
        <v>0</v>
      </c>
      <c r="G43" s="171">
        <f t="shared" si="0"/>
        <v>-96.8</v>
      </c>
      <c r="H43" s="171">
        <f t="shared" si="1"/>
        <v>0</v>
      </c>
      <c r="I43" s="35"/>
    </row>
    <row r="44" spans="1:9" s="9" customFormat="1" ht="60.75" customHeight="1" x14ac:dyDescent="0.25">
      <c r="A44" s="6"/>
      <c r="B44" s="2" t="s">
        <v>126</v>
      </c>
      <c r="C44" s="2"/>
      <c r="D44" s="206"/>
      <c r="E44" s="198"/>
      <c r="F44" s="173"/>
      <c r="G44" s="173"/>
      <c r="H44" s="173"/>
      <c r="I44" s="2"/>
    </row>
    <row r="45" spans="1:9" s="9" customFormat="1" x14ac:dyDescent="0.25">
      <c r="A45" s="6"/>
      <c r="B45" s="2" t="s">
        <v>8</v>
      </c>
      <c r="C45" s="2"/>
      <c r="D45" s="206"/>
      <c r="E45" s="198"/>
      <c r="F45" s="173"/>
      <c r="G45" s="173"/>
      <c r="H45" s="173"/>
      <c r="I45" s="2"/>
    </row>
    <row r="46" spans="1:9" s="9" customFormat="1" ht="25.5" x14ac:dyDescent="0.25">
      <c r="A46" s="6"/>
      <c r="B46" s="3" t="s">
        <v>127</v>
      </c>
      <c r="C46" s="3" t="s">
        <v>92</v>
      </c>
      <c r="D46" s="185">
        <v>95</v>
      </c>
      <c r="E46" s="198">
        <f t="shared" si="2"/>
        <v>95</v>
      </c>
      <c r="F46" s="174"/>
      <c r="G46" s="173">
        <f t="shared" si="0"/>
        <v>-95</v>
      </c>
      <c r="H46" s="173">
        <f t="shared" si="1"/>
        <v>0</v>
      </c>
      <c r="I46" s="3"/>
    </row>
    <row r="47" spans="1:9" s="9" customFormat="1" x14ac:dyDescent="0.25">
      <c r="A47" s="6"/>
      <c r="B47" s="2" t="s">
        <v>9</v>
      </c>
      <c r="C47" s="3"/>
      <c r="D47" s="185"/>
      <c r="E47" s="198"/>
      <c r="F47" s="174"/>
      <c r="G47" s="173"/>
      <c r="H47" s="173"/>
      <c r="I47" s="3"/>
    </row>
    <row r="48" spans="1:9" s="9" customFormat="1" x14ac:dyDescent="0.2">
      <c r="A48" s="6"/>
      <c r="B48" s="3" t="s">
        <v>428</v>
      </c>
      <c r="C48" s="3" t="s">
        <v>91</v>
      </c>
      <c r="D48" s="213">
        <v>96540</v>
      </c>
      <c r="E48" s="169">
        <v>96540</v>
      </c>
      <c r="F48" s="212">
        <v>96251</v>
      </c>
      <c r="G48" s="173">
        <f t="shared" ref="G48:G49" si="3">+F48-E48</f>
        <v>-289</v>
      </c>
      <c r="H48" s="173">
        <f t="shared" ref="H48:H49" si="4">+F48/E48*100</f>
        <v>99.700642220841104</v>
      </c>
      <c r="I48" s="3"/>
    </row>
    <row r="49" spans="1:9" s="9" customFormat="1" x14ac:dyDescent="0.25">
      <c r="A49" s="6"/>
      <c r="B49" s="3" t="s">
        <v>429</v>
      </c>
      <c r="C49" s="3" t="s">
        <v>91</v>
      </c>
      <c r="D49" s="213">
        <v>4346</v>
      </c>
      <c r="E49" s="169">
        <v>4346</v>
      </c>
      <c r="F49" s="169">
        <v>4991</v>
      </c>
      <c r="G49" s="173">
        <f t="shared" si="3"/>
        <v>645</v>
      </c>
      <c r="H49" s="173">
        <f t="shared" si="4"/>
        <v>114.84123331799356</v>
      </c>
      <c r="I49" s="3"/>
    </row>
    <row r="50" spans="1:9" s="15" customFormat="1" ht="74.25" customHeight="1" x14ac:dyDescent="0.25">
      <c r="A50" s="34" t="s">
        <v>401</v>
      </c>
      <c r="B50" s="35" t="s">
        <v>123</v>
      </c>
      <c r="C50" s="36" t="s">
        <v>6</v>
      </c>
      <c r="D50" s="184">
        <v>69.2</v>
      </c>
      <c r="E50" s="200">
        <f t="shared" si="2"/>
        <v>69.2</v>
      </c>
      <c r="F50" s="176">
        <v>0</v>
      </c>
      <c r="G50" s="171">
        <f t="shared" si="0"/>
        <v>-69.2</v>
      </c>
      <c r="H50" s="171">
        <f t="shared" si="1"/>
        <v>0</v>
      </c>
      <c r="I50" s="168" t="s">
        <v>430</v>
      </c>
    </row>
    <row r="51" spans="1:9" s="25" customFormat="1" ht="29.25" customHeight="1" x14ac:dyDescent="0.25">
      <c r="A51" s="26"/>
      <c r="B51" s="30" t="s">
        <v>124</v>
      </c>
      <c r="C51" s="3" t="s">
        <v>91</v>
      </c>
      <c r="D51" s="207">
        <v>18000</v>
      </c>
      <c r="E51" s="199">
        <f t="shared" si="2"/>
        <v>18000</v>
      </c>
      <c r="F51" s="174"/>
      <c r="G51" s="173">
        <f t="shared" si="0"/>
        <v>-18000</v>
      </c>
      <c r="H51" s="173">
        <f t="shared" si="1"/>
        <v>0</v>
      </c>
      <c r="I51" s="167"/>
    </row>
    <row r="52" spans="1:9" s="25" customFormat="1" ht="21" customHeight="1" x14ac:dyDescent="0.25">
      <c r="A52" s="26"/>
      <c r="B52" s="39" t="s">
        <v>8</v>
      </c>
      <c r="C52" s="27"/>
      <c r="D52" s="208"/>
      <c r="E52" s="198"/>
      <c r="F52" s="177"/>
      <c r="G52" s="173"/>
      <c r="H52" s="173"/>
      <c r="I52" s="27"/>
    </row>
    <row r="53" spans="1:9" s="9" customFormat="1" ht="89.25" x14ac:dyDescent="0.25">
      <c r="A53" s="29" t="s">
        <v>108</v>
      </c>
      <c r="B53" s="30" t="s">
        <v>30</v>
      </c>
      <c r="C53" s="31" t="s">
        <v>92</v>
      </c>
      <c r="D53" s="185">
        <v>100</v>
      </c>
      <c r="E53" s="198">
        <f t="shared" si="2"/>
        <v>100</v>
      </c>
      <c r="F53" s="178">
        <v>100</v>
      </c>
      <c r="G53" s="173">
        <f t="shared" si="0"/>
        <v>0</v>
      </c>
      <c r="H53" s="173">
        <f t="shared" si="1"/>
        <v>100</v>
      </c>
      <c r="I53" s="30" t="s">
        <v>426</v>
      </c>
    </row>
    <row r="54" spans="1:9" s="41" customFormat="1" ht="18.75" customHeight="1" x14ac:dyDescent="0.25">
      <c r="A54" s="40"/>
      <c r="B54" s="39" t="s">
        <v>9</v>
      </c>
      <c r="C54" s="39"/>
      <c r="D54" s="209"/>
      <c r="E54" s="198"/>
      <c r="F54" s="179"/>
      <c r="G54" s="173"/>
      <c r="H54" s="173"/>
      <c r="I54" s="39"/>
    </row>
    <row r="55" spans="1:9" s="9" customFormat="1" ht="81" customHeight="1" x14ac:dyDescent="0.25">
      <c r="A55" s="32" t="s">
        <v>109</v>
      </c>
      <c r="B55" s="3" t="s">
        <v>31</v>
      </c>
      <c r="C55" s="33" t="s">
        <v>92</v>
      </c>
      <c r="D55" s="185">
        <v>91</v>
      </c>
      <c r="E55" s="198">
        <f t="shared" si="2"/>
        <v>91</v>
      </c>
      <c r="F55" s="174">
        <v>79</v>
      </c>
      <c r="G55" s="173">
        <f t="shared" si="0"/>
        <v>-12</v>
      </c>
      <c r="H55" s="173">
        <f t="shared" si="1"/>
        <v>86.813186813186817</v>
      </c>
      <c r="I55" s="30" t="s">
        <v>425</v>
      </c>
    </row>
    <row r="56" spans="1:9" s="9" customFormat="1" ht="81.75" customHeight="1" x14ac:dyDescent="0.25">
      <c r="A56" s="37" t="s">
        <v>400</v>
      </c>
      <c r="B56" s="38" t="s">
        <v>32</v>
      </c>
      <c r="C56" s="38" t="s">
        <v>6</v>
      </c>
      <c r="D56" s="184">
        <v>86</v>
      </c>
      <c r="E56" s="200">
        <f t="shared" si="2"/>
        <v>86</v>
      </c>
      <c r="F56" s="180">
        <v>0</v>
      </c>
      <c r="G56" s="171">
        <f t="shared" si="0"/>
        <v>-86</v>
      </c>
      <c r="H56" s="171">
        <f t="shared" si="1"/>
        <v>0</v>
      </c>
      <c r="I56" s="4" t="s">
        <v>433</v>
      </c>
    </row>
    <row r="57" spans="1:9" s="9" customFormat="1" ht="77.25" customHeight="1" x14ac:dyDescent="0.25">
      <c r="A57" s="49"/>
      <c r="B57" s="47" t="s">
        <v>122</v>
      </c>
      <c r="C57" s="47"/>
      <c r="D57" s="206"/>
      <c r="E57" s="198"/>
      <c r="F57" s="181"/>
      <c r="G57" s="173"/>
      <c r="H57" s="173"/>
      <c r="I57" s="47"/>
    </row>
    <row r="58" spans="1:9" s="9" customFormat="1" ht="15.75" x14ac:dyDescent="0.25">
      <c r="A58" s="49"/>
      <c r="B58" s="48" t="s">
        <v>8</v>
      </c>
      <c r="C58" s="48"/>
      <c r="D58" s="206"/>
      <c r="E58" s="198"/>
      <c r="F58" s="182"/>
      <c r="G58" s="173"/>
      <c r="H58" s="173"/>
      <c r="I58" s="48"/>
    </row>
    <row r="59" spans="1:9" s="9" customFormat="1" ht="15.75" x14ac:dyDescent="0.25">
      <c r="A59" s="49"/>
      <c r="B59" s="47" t="s">
        <v>33</v>
      </c>
      <c r="C59" s="47" t="s">
        <v>92</v>
      </c>
      <c r="D59" s="185">
        <v>100</v>
      </c>
      <c r="E59" s="198">
        <f t="shared" si="2"/>
        <v>100</v>
      </c>
      <c r="F59" s="181">
        <v>100</v>
      </c>
      <c r="G59" s="173">
        <f t="shared" si="0"/>
        <v>0</v>
      </c>
      <c r="H59" s="173">
        <f t="shared" si="1"/>
        <v>100</v>
      </c>
      <c r="I59" s="47"/>
    </row>
    <row r="60" spans="1:9" s="9" customFormat="1" ht="25.5" x14ac:dyDescent="0.25">
      <c r="A60" s="49"/>
      <c r="B60" s="47" t="s">
        <v>34</v>
      </c>
      <c r="C60" s="47" t="s">
        <v>93</v>
      </c>
      <c r="D60" s="185" t="s">
        <v>378</v>
      </c>
      <c r="E60" s="198">
        <v>15</v>
      </c>
      <c r="F60" s="181">
        <v>21</v>
      </c>
      <c r="G60" s="173">
        <f t="shared" si="0"/>
        <v>6</v>
      </c>
      <c r="H60" s="173">
        <f t="shared" si="1"/>
        <v>140</v>
      </c>
      <c r="I60" s="165" t="s">
        <v>423</v>
      </c>
    </row>
    <row r="61" spans="1:9" s="9" customFormat="1" ht="14.25" customHeight="1" x14ac:dyDescent="0.25">
      <c r="A61" s="49"/>
      <c r="B61" s="47" t="s">
        <v>35</v>
      </c>
      <c r="C61" s="47" t="s">
        <v>92</v>
      </c>
      <c r="D61" s="185">
        <v>100</v>
      </c>
      <c r="E61" s="198">
        <f t="shared" si="2"/>
        <v>100</v>
      </c>
      <c r="F61" s="181">
        <v>71.8</v>
      </c>
      <c r="G61" s="173">
        <f t="shared" si="0"/>
        <v>-28.200000000000003</v>
      </c>
      <c r="H61" s="173">
        <f t="shared" si="1"/>
        <v>71.8</v>
      </c>
      <c r="I61" s="47"/>
    </row>
    <row r="62" spans="1:9" s="9" customFormat="1" ht="15.75" x14ac:dyDescent="0.25">
      <c r="A62" s="49"/>
      <c r="B62" s="48" t="s">
        <v>9</v>
      </c>
      <c r="C62" s="48"/>
      <c r="D62" s="206"/>
      <c r="E62" s="198">
        <f t="shared" si="2"/>
        <v>0</v>
      </c>
      <c r="F62" s="182"/>
      <c r="G62" s="173"/>
      <c r="H62" s="173"/>
      <c r="I62" s="48"/>
    </row>
    <row r="63" spans="1:9" s="9" customFormat="1" ht="18.75" customHeight="1" x14ac:dyDescent="0.25">
      <c r="A63" s="49"/>
      <c r="B63" s="47" t="s">
        <v>36</v>
      </c>
      <c r="C63" s="47" t="s">
        <v>91</v>
      </c>
      <c r="D63" s="185">
        <v>3300</v>
      </c>
      <c r="E63" s="198">
        <f t="shared" si="2"/>
        <v>3300</v>
      </c>
      <c r="F63" s="181">
        <v>943</v>
      </c>
      <c r="G63" s="173">
        <f t="shared" ref="G63:G120" si="5">+F63-E63</f>
        <v>-2357</v>
      </c>
      <c r="H63" s="173">
        <f t="shared" ref="H63:H120" si="6">+F63/E63*100</f>
        <v>28.575757575757578</v>
      </c>
      <c r="I63" s="47"/>
    </row>
    <row r="64" spans="1:9" s="9" customFormat="1" ht="18.75" customHeight="1" x14ac:dyDescent="0.25">
      <c r="A64" s="49"/>
      <c r="B64" s="47" t="s">
        <v>37</v>
      </c>
      <c r="C64" s="47" t="s">
        <v>91</v>
      </c>
      <c r="D64" s="185">
        <v>3000</v>
      </c>
      <c r="E64" s="198">
        <f t="shared" si="2"/>
        <v>3000</v>
      </c>
      <c r="F64" s="181">
        <v>916</v>
      </c>
      <c r="G64" s="173">
        <f t="shared" si="5"/>
        <v>-2084</v>
      </c>
      <c r="H64" s="173">
        <f t="shared" si="6"/>
        <v>30.533333333333335</v>
      </c>
      <c r="I64" s="47"/>
    </row>
    <row r="65" spans="1:9" s="9" customFormat="1" ht="51" customHeight="1" x14ac:dyDescent="0.25">
      <c r="A65" s="11" t="s">
        <v>402</v>
      </c>
      <c r="B65" s="4" t="s">
        <v>38</v>
      </c>
      <c r="C65" s="4" t="s">
        <v>6</v>
      </c>
      <c r="D65" s="184">
        <v>44</v>
      </c>
      <c r="E65" s="200">
        <f t="shared" si="2"/>
        <v>44</v>
      </c>
      <c r="F65" s="171">
        <v>0</v>
      </c>
      <c r="G65" s="171">
        <f t="shared" si="5"/>
        <v>-44</v>
      </c>
      <c r="H65" s="171">
        <f t="shared" si="6"/>
        <v>0</v>
      </c>
      <c r="I65" s="4"/>
    </row>
    <row r="66" spans="1:9" s="9" customFormat="1" ht="37.5" customHeight="1" x14ac:dyDescent="0.25">
      <c r="A66" s="6"/>
      <c r="B66" s="3" t="s">
        <v>39</v>
      </c>
      <c r="C66" s="3"/>
      <c r="D66" s="206"/>
      <c r="E66" s="198"/>
      <c r="F66" s="174"/>
      <c r="G66" s="173"/>
      <c r="H66" s="173"/>
      <c r="I66" s="3"/>
    </row>
    <row r="67" spans="1:9" s="9" customFormat="1" x14ac:dyDescent="0.25">
      <c r="A67" s="6"/>
      <c r="B67" s="2" t="s">
        <v>8</v>
      </c>
      <c r="C67" s="2"/>
      <c r="D67" s="206"/>
      <c r="E67" s="198"/>
      <c r="F67" s="173"/>
      <c r="G67" s="173"/>
      <c r="H67" s="173"/>
      <c r="I67" s="2"/>
    </row>
    <row r="68" spans="1:9" s="9" customFormat="1" ht="27.75" customHeight="1" x14ac:dyDescent="0.25">
      <c r="A68" s="6"/>
      <c r="B68" s="3" t="s">
        <v>105</v>
      </c>
      <c r="C68" s="3" t="s">
        <v>91</v>
      </c>
      <c r="D68" s="185">
        <v>900</v>
      </c>
      <c r="E68" s="198">
        <f t="shared" si="2"/>
        <v>900</v>
      </c>
      <c r="F68" s="174">
        <v>850</v>
      </c>
      <c r="G68" s="173">
        <f t="shared" si="5"/>
        <v>-50</v>
      </c>
      <c r="H68" s="173">
        <f t="shared" si="6"/>
        <v>94.444444444444443</v>
      </c>
      <c r="I68" s="3"/>
    </row>
    <row r="69" spans="1:9" s="9" customFormat="1" x14ac:dyDescent="0.25">
      <c r="A69" s="6"/>
      <c r="B69" s="2" t="s">
        <v>9</v>
      </c>
      <c r="C69" s="2"/>
      <c r="D69" s="206"/>
      <c r="E69" s="198"/>
      <c r="F69" s="173"/>
      <c r="G69" s="173"/>
      <c r="H69" s="173"/>
      <c r="I69" s="2"/>
    </row>
    <row r="70" spans="1:9" s="9" customFormat="1" ht="26.25" customHeight="1" x14ac:dyDescent="0.25">
      <c r="A70" s="6"/>
      <c r="B70" s="3" t="s">
        <v>40</v>
      </c>
      <c r="C70" s="3" t="s">
        <v>94</v>
      </c>
      <c r="D70" s="185">
        <v>2700</v>
      </c>
      <c r="E70" s="198">
        <f t="shared" si="2"/>
        <v>2700</v>
      </c>
      <c r="F70" s="174">
        <v>850</v>
      </c>
      <c r="G70" s="173">
        <f t="shared" si="5"/>
        <v>-1850</v>
      </c>
      <c r="H70" s="173">
        <f t="shared" si="6"/>
        <v>31.481481481481481</v>
      </c>
      <c r="I70" s="3"/>
    </row>
    <row r="71" spans="1:9" s="15" customFormat="1" ht="30.75" customHeight="1" x14ac:dyDescent="0.25">
      <c r="A71" s="11" t="s">
        <v>403</v>
      </c>
      <c r="B71" s="4" t="s">
        <v>41</v>
      </c>
      <c r="C71" s="4" t="s">
        <v>6</v>
      </c>
      <c r="D71" s="184">
        <v>27.9</v>
      </c>
      <c r="E71" s="200">
        <f t="shared" si="2"/>
        <v>27.9</v>
      </c>
      <c r="F71" s="171">
        <v>0</v>
      </c>
      <c r="G71" s="171">
        <f t="shared" si="5"/>
        <v>-27.9</v>
      </c>
      <c r="H71" s="171">
        <f t="shared" si="6"/>
        <v>0</v>
      </c>
      <c r="I71" s="4"/>
    </row>
    <row r="72" spans="1:9" s="9" customFormat="1" ht="29.25" customHeight="1" x14ac:dyDescent="0.25">
      <c r="A72" s="6"/>
      <c r="B72" s="3" t="s">
        <v>42</v>
      </c>
      <c r="C72" s="3"/>
      <c r="D72" s="206"/>
      <c r="E72" s="198"/>
      <c r="F72" s="174"/>
      <c r="G72" s="173"/>
      <c r="H72" s="173"/>
      <c r="I72" s="3"/>
    </row>
    <row r="73" spans="1:9" s="9" customFormat="1" x14ac:dyDescent="0.25">
      <c r="A73" s="6"/>
      <c r="B73" s="2" t="s">
        <v>8</v>
      </c>
      <c r="C73" s="2"/>
      <c r="D73" s="206"/>
      <c r="E73" s="198"/>
      <c r="F73" s="173"/>
      <c r="G73" s="173"/>
      <c r="H73" s="173"/>
      <c r="I73" s="2"/>
    </row>
    <row r="74" spans="1:9" s="9" customFormat="1" ht="26.25" customHeight="1" x14ac:dyDescent="0.25">
      <c r="A74" s="6"/>
      <c r="B74" s="3" t="s">
        <v>43</v>
      </c>
      <c r="C74" s="3" t="s">
        <v>92</v>
      </c>
      <c r="D74" s="185">
        <v>100</v>
      </c>
      <c r="E74" s="198">
        <f t="shared" si="2"/>
        <v>100</v>
      </c>
      <c r="F74" s="174">
        <v>69.3</v>
      </c>
      <c r="G74" s="173">
        <f t="shared" si="5"/>
        <v>-30.700000000000003</v>
      </c>
      <c r="H74" s="173">
        <f t="shared" si="6"/>
        <v>69.3</v>
      </c>
      <c r="I74" s="3"/>
    </row>
    <row r="75" spans="1:9" s="9" customFormat="1" x14ac:dyDescent="0.25">
      <c r="A75" s="6"/>
      <c r="B75" s="2" t="s">
        <v>9</v>
      </c>
      <c r="C75" s="2"/>
      <c r="D75" s="206"/>
      <c r="E75" s="198"/>
      <c r="F75" s="173"/>
      <c r="G75" s="173"/>
      <c r="H75" s="173"/>
      <c r="I75" s="2"/>
    </row>
    <row r="76" spans="1:9" s="9" customFormat="1" ht="22.5" customHeight="1" x14ac:dyDescent="0.25">
      <c r="A76" s="6"/>
      <c r="B76" s="3" t="s">
        <v>44</v>
      </c>
      <c r="C76" s="3" t="s">
        <v>92</v>
      </c>
      <c r="D76" s="185">
        <v>20</v>
      </c>
      <c r="E76" s="198">
        <f>+D76</f>
        <v>20</v>
      </c>
      <c r="F76" s="174">
        <v>64.099999999999994</v>
      </c>
      <c r="G76" s="173">
        <f>+F76-E76</f>
        <v>44.099999999999994</v>
      </c>
      <c r="H76" s="173">
        <f>+F76/E76*100</f>
        <v>320.49999999999994</v>
      </c>
      <c r="I76" s="3"/>
    </row>
    <row r="77" spans="1:9" s="9" customFormat="1" ht="24.75" customHeight="1" x14ac:dyDescent="0.25">
      <c r="A77" s="6"/>
      <c r="B77" s="3" t="s">
        <v>379</v>
      </c>
      <c r="C77" s="3" t="s">
        <v>92</v>
      </c>
      <c r="D77" s="185">
        <v>25</v>
      </c>
      <c r="E77" s="198">
        <f t="shared" ref="E77:E137" si="7">+D77</f>
        <v>25</v>
      </c>
      <c r="F77" s="174">
        <v>19</v>
      </c>
      <c r="G77" s="173">
        <f t="shared" si="5"/>
        <v>-6</v>
      </c>
      <c r="H77" s="173">
        <f t="shared" si="6"/>
        <v>76</v>
      </c>
      <c r="I77" s="3"/>
    </row>
    <row r="78" spans="1:9" ht="49.5" customHeight="1" x14ac:dyDescent="0.25">
      <c r="A78" s="11" t="s">
        <v>404</v>
      </c>
      <c r="B78" s="4" t="s">
        <v>68</v>
      </c>
      <c r="C78" s="4" t="s">
        <v>6</v>
      </c>
      <c r="D78" s="184">
        <v>15.1</v>
      </c>
      <c r="E78" s="200">
        <f t="shared" si="7"/>
        <v>15.1</v>
      </c>
      <c r="F78" s="171">
        <v>1.77</v>
      </c>
      <c r="G78" s="171">
        <f t="shared" si="5"/>
        <v>-13.33</v>
      </c>
      <c r="H78" s="171">
        <f t="shared" si="6"/>
        <v>11.721854304635762</v>
      </c>
      <c r="I78" s="4"/>
    </row>
    <row r="79" spans="1:9" s="9" customFormat="1" ht="49.5" customHeight="1" x14ac:dyDescent="0.25">
      <c r="A79" s="6"/>
      <c r="B79" s="2" t="s">
        <v>69</v>
      </c>
      <c r="C79" s="2"/>
      <c r="D79" s="206"/>
      <c r="E79" s="198"/>
      <c r="F79" s="173"/>
      <c r="G79" s="173"/>
      <c r="H79" s="173"/>
      <c r="I79" s="2"/>
    </row>
    <row r="80" spans="1:9" s="9" customFormat="1" ht="18.75" customHeight="1" x14ac:dyDescent="0.25">
      <c r="A80" s="6"/>
      <c r="B80" s="2" t="s">
        <v>8</v>
      </c>
      <c r="C80" s="2"/>
      <c r="D80" s="206"/>
      <c r="E80" s="198"/>
      <c r="F80" s="173"/>
      <c r="G80" s="173"/>
      <c r="H80" s="173"/>
      <c r="I80" s="2"/>
    </row>
    <row r="81" spans="1:9" s="9" customFormat="1" ht="18.75" customHeight="1" x14ac:dyDescent="0.25">
      <c r="A81" s="6"/>
      <c r="B81" s="3" t="s">
        <v>70</v>
      </c>
      <c r="C81" s="3" t="s">
        <v>97</v>
      </c>
      <c r="D81" s="185">
        <v>10.1</v>
      </c>
      <c r="E81" s="198">
        <f t="shared" si="7"/>
        <v>10.1</v>
      </c>
      <c r="F81" s="174">
        <v>9.5</v>
      </c>
      <c r="G81" s="173">
        <f t="shared" si="5"/>
        <v>-0.59999999999999964</v>
      </c>
      <c r="H81" s="173">
        <f t="shared" si="6"/>
        <v>94.059405940594061</v>
      </c>
      <c r="I81" s="3"/>
    </row>
    <row r="82" spans="1:9" s="9" customFormat="1" ht="18.75" customHeight="1" x14ac:dyDescent="0.25">
      <c r="A82" s="6"/>
      <c r="B82" s="2" t="s">
        <v>9</v>
      </c>
      <c r="C82" s="2"/>
      <c r="D82" s="206"/>
      <c r="E82" s="198"/>
      <c r="F82" s="173"/>
      <c r="G82" s="173"/>
      <c r="H82" s="173"/>
      <c r="I82" s="2"/>
    </row>
    <row r="83" spans="1:9" s="9" customFormat="1" ht="18.75" customHeight="1" x14ac:dyDescent="0.25">
      <c r="A83" s="6"/>
      <c r="B83" s="3" t="s">
        <v>71</v>
      </c>
      <c r="C83" s="3" t="s">
        <v>91</v>
      </c>
      <c r="D83" s="185">
        <v>4000</v>
      </c>
      <c r="E83" s="198">
        <f t="shared" si="7"/>
        <v>4000</v>
      </c>
      <c r="F83" s="174">
        <v>1543</v>
      </c>
      <c r="G83" s="173">
        <f t="shared" si="5"/>
        <v>-2457</v>
      </c>
      <c r="H83" s="173">
        <f t="shared" si="6"/>
        <v>38.574999999999996</v>
      </c>
      <c r="I83" s="3"/>
    </row>
    <row r="84" spans="1:9" s="9" customFormat="1" ht="18.75" customHeight="1" x14ac:dyDescent="0.25">
      <c r="A84" s="6"/>
      <c r="B84" s="3" t="s">
        <v>72</v>
      </c>
      <c r="C84" s="3" t="s">
        <v>91</v>
      </c>
      <c r="D84" s="185">
        <v>2700</v>
      </c>
      <c r="E84" s="198">
        <f t="shared" si="7"/>
        <v>2700</v>
      </c>
      <c r="F84" s="174">
        <v>1627</v>
      </c>
      <c r="G84" s="173">
        <f t="shared" si="5"/>
        <v>-1073</v>
      </c>
      <c r="H84" s="173">
        <f t="shared" si="6"/>
        <v>60.25925925925926</v>
      </c>
      <c r="I84" s="3"/>
    </row>
    <row r="85" spans="1:9" s="9" customFormat="1" ht="18.75" customHeight="1" x14ac:dyDescent="0.25">
      <c r="A85" s="6"/>
      <c r="B85" s="3" t="s">
        <v>73</v>
      </c>
      <c r="C85" s="3" t="s">
        <v>91</v>
      </c>
      <c r="D85" s="185">
        <v>450</v>
      </c>
      <c r="E85" s="198">
        <f t="shared" si="7"/>
        <v>450</v>
      </c>
      <c r="F85" s="174">
        <v>196</v>
      </c>
      <c r="G85" s="173">
        <f t="shared" si="5"/>
        <v>-254</v>
      </c>
      <c r="H85" s="173">
        <f t="shared" si="6"/>
        <v>43.55555555555555</v>
      </c>
      <c r="I85" s="3"/>
    </row>
    <row r="86" spans="1:9" s="9" customFormat="1" ht="24" customHeight="1" x14ac:dyDescent="0.25">
      <c r="A86" s="6"/>
      <c r="B86" s="3" t="s">
        <v>74</v>
      </c>
      <c r="C86" s="14" t="s">
        <v>94</v>
      </c>
      <c r="D86" s="185">
        <v>50</v>
      </c>
      <c r="E86" s="198">
        <f t="shared" si="7"/>
        <v>50</v>
      </c>
      <c r="F86" s="202">
        <v>37</v>
      </c>
      <c r="G86" s="173">
        <f t="shared" si="5"/>
        <v>-13</v>
      </c>
      <c r="H86" s="173">
        <f t="shared" si="6"/>
        <v>74</v>
      </c>
      <c r="I86" s="14"/>
    </row>
    <row r="87" spans="1:9" ht="81" customHeight="1" x14ac:dyDescent="0.25">
      <c r="A87" s="11" t="s">
        <v>405</v>
      </c>
      <c r="B87" s="4" t="s">
        <v>45</v>
      </c>
      <c r="C87" s="4" t="s">
        <v>6</v>
      </c>
      <c r="D87" s="184">
        <v>38.5</v>
      </c>
      <c r="E87" s="200">
        <f t="shared" si="7"/>
        <v>38.5</v>
      </c>
      <c r="F87" s="171">
        <v>0</v>
      </c>
      <c r="G87" s="171">
        <f t="shared" si="5"/>
        <v>-38.5</v>
      </c>
      <c r="H87" s="171">
        <f t="shared" si="6"/>
        <v>0</v>
      </c>
      <c r="I87" s="166" t="s">
        <v>432</v>
      </c>
    </row>
    <row r="88" spans="1:9" s="9" customFormat="1" ht="51.75" customHeight="1" x14ac:dyDescent="0.25">
      <c r="A88" s="6"/>
      <c r="B88" s="2" t="s">
        <v>46</v>
      </c>
      <c r="C88" s="2"/>
      <c r="D88" s="206"/>
      <c r="E88" s="198"/>
      <c r="F88" s="173"/>
      <c r="G88" s="173"/>
      <c r="H88" s="173"/>
      <c r="I88" s="2"/>
    </row>
    <row r="89" spans="1:9" s="9" customFormat="1" ht="16.5" customHeight="1" x14ac:dyDescent="0.25">
      <c r="A89" s="6"/>
      <c r="B89" s="2" t="s">
        <v>8</v>
      </c>
      <c r="C89" s="2"/>
      <c r="D89" s="206"/>
      <c r="E89" s="198"/>
      <c r="F89" s="173"/>
      <c r="G89" s="173"/>
      <c r="H89" s="173"/>
      <c r="I89" s="2"/>
    </row>
    <row r="90" spans="1:9" s="9" customFormat="1" ht="16.5" customHeight="1" x14ac:dyDescent="0.25">
      <c r="A90" s="6"/>
      <c r="B90" s="3" t="s">
        <v>47</v>
      </c>
      <c r="C90" s="3" t="s">
        <v>92</v>
      </c>
      <c r="D90" s="185">
        <v>65</v>
      </c>
      <c r="E90" s="198">
        <f t="shared" si="7"/>
        <v>65</v>
      </c>
      <c r="F90" s="174">
        <v>0</v>
      </c>
      <c r="G90" s="173">
        <f t="shared" si="5"/>
        <v>-65</v>
      </c>
      <c r="H90" s="173">
        <f t="shared" si="6"/>
        <v>0</v>
      </c>
      <c r="I90" s="3"/>
    </row>
    <row r="91" spans="1:9" s="9" customFormat="1" ht="16.5" customHeight="1" x14ac:dyDescent="0.25">
      <c r="A91" s="6"/>
      <c r="B91" s="2" t="s">
        <v>9</v>
      </c>
      <c r="C91" s="2"/>
      <c r="D91" s="206"/>
      <c r="E91" s="198"/>
      <c r="F91" s="173"/>
      <c r="G91" s="173"/>
      <c r="H91" s="173"/>
      <c r="I91" s="2"/>
    </row>
    <row r="92" spans="1:9" s="9" customFormat="1" ht="16.5" customHeight="1" x14ac:dyDescent="0.25">
      <c r="A92" s="6"/>
      <c r="B92" s="3" t="s">
        <v>48</v>
      </c>
      <c r="C92" s="3" t="s">
        <v>96</v>
      </c>
      <c r="D92" s="185">
        <v>330</v>
      </c>
      <c r="E92" s="198">
        <f t="shared" si="7"/>
        <v>330</v>
      </c>
      <c r="F92" s="174">
        <v>55</v>
      </c>
      <c r="G92" s="173">
        <f t="shared" si="5"/>
        <v>-275</v>
      </c>
      <c r="H92" s="173">
        <f t="shared" si="6"/>
        <v>16.666666666666664</v>
      </c>
      <c r="I92" s="3"/>
    </row>
    <row r="93" spans="1:9" s="9" customFormat="1" ht="50.25" customHeight="1" x14ac:dyDescent="0.25">
      <c r="A93" s="17" t="s">
        <v>406</v>
      </c>
      <c r="B93" s="12" t="s">
        <v>49</v>
      </c>
      <c r="C93" s="4" t="s">
        <v>6</v>
      </c>
      <c r="D93" s="184">
        <v>38.200000000000003</v>
      </c>
      <c r="E93" s="200">
        <f t="shared" si="7"/>
        <v>38.200000000000003</v>
      </c>
      <c r="F93" s="171">
        <v>0</v>
      </c>
      <c r="G93" s="171">
        <f t="shared" si="5"/>
        <v>-38.200000000000003</v>
      </c>
      <c r="H93" s="171">
        <f t="shared" si="6"/>
        <v>0</v>
      </c>
      <c r="I93" s="4"/>
    </row>
    <row r="94" spans="1:9" ht="27.75" customHeight="1" x14ac:dyDescent="0.25">
      <c r="A94" s="160"/>
      <c r="B94" s="46" t="s">
        <v>50</v>
      </c>
      <c r="C94" s="13"/>
      <c r="D94" s="205"/>
      <c r="E94" s="198"/>
      <c r="F94" s="183"/>
      <c r="G94" s="173"/>
      <c r="H94" s="173"/>
      <c r="I94" s="13"/>
    </row>
    <row r="95" spans="1:9" s="9" customFormat="1" x14ac:dyDescent="0.25">
      <c r="A95" s="6"/>
      <c r="B95" s="2" t="s">
        <v>8</v>
      </c>
      <c r="C95" s="2"/>
      <c r="D95" s="206"/>
      <c r="E95" s="198"/>
      <c r="F95" s="173"/>
      <c r="G95" s="173"/>
      <c r="H95" s="173"/>
      <c r="I95" s="2"/>
    </row>
    <row r="96" spans="1:9" ht="21" customHeight="1" x14ac:dyDescent="0.25">
      <c r="A96" s="19"/>
      <c r="B96" s="46" t="s">
        <v>51</v>
      </c>
      <c r="C96" s="13" t="s">
        <v>97</v>
      </c>
      <c r="D96" s="183">
        <v>8</v>
      </c>
      <c r="E96" s="198">
        <f t="shared" si="7"/>
        <v>8</v>
      </c>
      <c r="F96" s="183">
        <v>8</v>
      </c>
      <c r="G96" s="173">
        <f t="shared" si="5"/>
        <v>0</v>
      </c>
      <c r="H96" s="173">
        <f t="shared" si="6"/>
        <v>100</v>
      </c>
      <c r="I96" s="13"/>
    </row>
    <row r="97" spans="1:9" s="9" customFormat="1" x14ac:dyDescent="0.25">
      <c r="A97" s="6"/>
      <c r="B97" s="2" t="s">
        <v>9</v>
      </c>
      <c r="C97" s="2"/>
      <c r="D97" s="206"/>
      <c r="E97" s="198"/>
      <c r="F97" s="173"/>
      <c r="G97" s="173"/>
      <c r="H97" s="173"/>
      <c r="I97" s="2"/>
    </row>
    <row r="98" spans="1:9" ht="27" customHeight="1" x14ac:dyDescent="0.25">
      <c r="A98" s="19"/>
      <c r="B98" s="13" t="s">
        <v>52</v>
      </c>
      <c r="C98" s="3" t="s">
        <v>92</v>
      </c>
      <c r="D98" s="183">
        <v>60</v>
      </c>
      <c r="E98" s="198">
        <f t="shared" si="7"/>
        <v>60</v>
      </c>
      <c r="F98" s="174">
        <v>67</v>
      </c>
      <c r="G98" s="173">
        <f t="shared" si="5"/>
        <v>7</v>
      </c>
      <c r="H98" s="173">
        <f t="shared" si="6"/>
        <v>111.66666666666667</v>
      </c>
      <c r="I98" s="3"/>
    </row>
    <row r="99" spans="1:9" ht="26.25" customHeight="1" x14ac:dyDescent="0.25">
      <c r="A99" s="19"/>
      <c r="B99" s="13" t="s">
        <v>53</v>
      </c>
      <c r="C99" s="3" t="s">
        <v>92</v>
      </c>
      <c r="D99" s="183">
        <v>100</v>
      </c>
      <c r="E99" s="198">
        <f t="shared" si="7"/>
        <v>100</v>
      </c>
      <c r="F99" s="174">
        <v>78.400000000000006</v>
      </c>
      <c r="G99" s="173">
        <f t="shared" si="5"/>
        <v>-21.599999999999994</v>
      </c>
      <c r="H99" s="173">
        <f t="shared" si="6"/>
        <v>78.400000000000006</v>
      </c>
      <c r="I99" s="3"/>
    </row>
    <row r="100" spans="1:9" x14ac:dyDescent="0.25">
      <c r="A100" s="19"/>
      <c r="B100" s="13" t="s">
        <v>54</v>
      </c>
      <c r="C100" s="3" t="s">
        <v>91</v>
      </c>
      <c r="D100" s="183">
        <v>950000</v>
      </c>
      <c r="E100" s="198">
        <f t="shared" si="7"/>
        <v>950000</v>
      </c>
      <c r="F100" s="174">
        <v>198089</v>
      </c>
      <c r="G100" s="173">
        <f t="shared" si="5"/>
        <v>-751911</v>
      </c>
      <c r="H100" s="173">
        <f t="shared" si="6"/>
        <v>20.851473684210525</v>
      </c>
      <c r="I100" s="3"/>
    </row>
    <row r="101" spans="1:9" s="9" customFormat="1" ht="42.75" customHeight="1" x14ac:dyDescent="0.25">
      <c r="A101" s="17" t="s">
        <v>407</v>
      </c>
      <c r="B101" s="12" t="s">
        <v>55</v>
      </c>
      <c r="C101" s="4" t="s">
        <v>6</v>
      </c>
      <c r="D101" s="184">
        <v>50</v>
      </c>
      <c r="E101" s="200">
        <f t="shared" si="7"/>
        <v>50</v>
      </c>
      <c r="F101" s="171">
        <v>0</v>
      </c>
      <c r="G101" s="171">
        <f t="shared" si="5"/>
        <v>-50</v>
      </c>
      <c r="H101" s="171">
        <f t="shared" si="6"/>
        <v>0</v>
      </c>
      <c r="I101" s="4"/>
    </row>
    <row r="102" spans="1:9" ht="54.75" customHeight="1" x14ac:dyDescent="0.25">
      <c r="A102" s="211"/>
      <c r="B102" s="13" t="s">
        <v>56</v>
      </c>
      <c r="C102" s="13"/>
      <c r="D102" s="205"/>
      <c r="E102" s="198"/>
      <c r="F102" s="183"/>
      <c r="G102" s="173"/>
      <c r="H102" s="173"/>
      <c r="I102" s="13"/>
    </row>
    <row r="103" spans="1:9" s="9" customFormat="1" ht="15.75" customHeight="1" x14ac:dyDescent="0.25">
      <c r="A103" s="6"/>
      <c r="B103" s="2" t="s">
        <v>8</v>
      </c>
      <c r="C103" s="2"/>
      <c r="D103" s="206"/>
      <c r="E103" s="198"/>
      <c r="F103" s="173"/>
      <c r="G103" s="173"/>
      <c r="H103" s="173"/>
      <c r="I103" s="2"/>
    </row>
    <row r="104" spans="1:9" ht="40.5" customHeight="1" x14ac:dyDescent="0.25">
      <c r="A104" s="28"/>
      <c r="B104" s="13" t="s">
        <v>57</v>
      </c>
      <c r="C104" s="3" t="s">
        <v>92</v>
      </c>
      <c r="D104" s="183">
        <v>100</v>
      </c>
      <c r="E104" s="198">
        <f t="shared" si="7"/>
        <v>100</v>
      </c>
      <c r="F104" s="174">
        <v>25</v>
      </c>
      <c r="G104" s="173">
        <f t="shared" si="5"/>
        <v>-75</v>
      </c>
      <c r="H104" s="173">
        <f t="shared" si="6"/>
        <v>25</v>
      </c>
      <c r="I104" s="3" t="s">
        <v>438</v>
      </c>
    </row>
    <row r="105" spans="1:9" s="9" customFormat="1" ht="15.75" customHeight="1" x14ac:dyDescent="0.25">
      <c r="A105" s="6"/>
      <c r="B105" s="2" t="s">
        <v>9</v>
      </c>
      <c r="C105" s="2"/>
      <c r="D105" s="206"/>
      <c r="E105" s="198"/>
      <c r="F105" s="173"/>
      <c r="G105" s="173"/>
      <c r="H105" s="173"/>
      <c r="I105" s="2"/>
    </row>
    <row r="106" spans="1:9" s="9" customFormat="1" ht="51.75" customHeight="1" x14ac:dyDescent="0.25">
      <c r="A106" s="6"/>
      <c r="B106" s="3" t="s">
        <v>58</v>
      </c>
      <c r="C106" s="3" t="s">
        <v>92</v>
      </c>
      <c r="D106" s="185">
        <v>100</v>
      </c>
      <c r="E106" s="198">
        <f t="shared" si="7"/>
        <v>100</v>
      </c>
      <c r="F106" s="174">
        <v>90</v>
      </c>
      <c r="G106" s="173">
        <f t="shared" si="5"/>
        <v>-10</v>
      </c>
      <c r="H106" s="173">
        <f t="shared" si="6"/>
        <v>90</v>
      </c>
      <c r="I106" s="3" t="s">
        <v>440</v>
      </c>
    </row>
    <row r="107" spans="1:9" s="9" customFormat="1" ht="42.75" customHeight="1" x14ac:dyDescent="0.25">
      <c r="A107" s="6"/>
      <c r="B107" s="3" t="s">
        <v>59</v>
      </c>
      <c r="C107" s="3" t="s">
        <v>95</v>
      </c>
      <c r="D107" s="185">
        <v>18</v>
      </c>
      <c r="E107" s="198">
        <f t="shared" si="7"/>
        <v>18</v>
      </c>
      <c r="F107" s="174">
        <v>18</v>
      </c>
      <c r="G107" s="173">
        <f t="shared" si="5"/>
        <v>0</v>
      </c>
      <c r="H107" s="173">
        <f t="shared" si="6"/>
        <v>100</v>
      </c>
      <c r="I107" s="3" t="s">
        <v>439</v>
      </c>
    </row>
    <row r="108" spans="1:9" ht="67.5" customHeight="1" x14ac:dyDescent="0.25">
      <c r="A108" s="11" t="s">
        <v>408</v>
      </c>
      <c r="B108" s="4" t="s">
        <v>63</v>
      </c>
      <c r="C108" s="4" t="s">
        <v>6</v>
      </c>
      <c r="D108" s="184">
        <v>27.9</v>
      </c>
      <c r="E108" s="200">
        <f t="shared" si="7"/>
        <v>27.9</v>
      </c>
      <c r="F108" s="171">
        <v>0</v>
      </c>
      <c r="G108" s="171">
        <f t="shared" si="5"/>
        <v>-27.9</v>
      </c>
      <c r="H108" s="171">
        <f t="shared" si="6"/>
        <v>0</v>
      </c>
      <c r="I108" s="4"/>
    </row>
    <row r="109" spans="1:9" s="9" customFormat="1" ht="25.5" x14ac:dyDescent="0.25">
      <c r="A109" s="6"/>
      <c r="B109" s="2" t="s">
        <v>60</v>
      </c>
      <c r="C109" s="2"/>
      <c r="D109" s="206"/>
      <c r="E109" s="198"/>
      <c r="F109" s="173"/>
      <c r="G109" s="173"/>
      <c r="H109" s="173"/>
      <c r="I109" s="2"/>
    </row>
    <row r="110" spans="1:9" s="9" customFormat="1" x14ac:dyDescent="0.25">
      <c r="A110" s="6"/>
      <c r="B110" s="2" t="s">
        <v>8</v>
      </c>
      <c r="C110" s="2"/>
      <c r="D110" s="206"/>
      <c r="E110" s="198"/>
      <c r="F110" s="173"/>
      <c r="G110" s="173"/>
      <c r="H110" s="173"/>
      <c r="I110" s="2"/>
    </row>
    <row r="111" spans="1:9" s="9" customFormat="1" ht="27" customHeight="1" x14ac:dyDescent="0.25">
      <c r="A111" s="6"/>
      <c r="B111" s="3" t="s">
        <v>61</v>
      </c>
      <c r="C111" s="3" t="s">
        <v>92</v>
      </c>
      <c r="D111" s="185">
        <v>70</v>
      </c>
      <c r="E111" s="198">
        <f t="shared" si="7"/>
        <v>70</v>
      </c>
      <c r="F111" s="174">
        <v>70</v>
      </c>
      <c r="G111" s="173">
        <f t="shared" si="5"/>
        <v>0</v>
      </c>
      <c r="H111" s="173">
        <f t="shared" si="6"/>
        <v>100</v>
      </c>
      <c r="I111" s="3"/>
    </row>
    <row r="112" spans="1:9" s="9" customFormat="1" ht="21" customHeight="1" x14ac:dyDescent="0.25">
      <c r="A112" s="6"/>
      <c r="B112" s="2" t="s">
        <v>9</v>
      </c>
      <c r="C112" s="2"/>
      <c r="D112" s="206"/>
      <c r="E112" s="198"/>
      <c r="F112" s="173"/>
      <c r="G112" s="173"/>
      <c r="H112" s="173"/>
      <c r="I112" s="2"/>
    </row>
    <row r="113" spans="1:9" s="9" customFormat="1" ht="21.75" customHeight="1" x14ac:dyDescent="0.25">
      <c r="A113" s="6"/>
      <c r="B113" s="3" t="s">
        <v>62</v>
      </c>
      <c r="C113" s="3" t="s">
        <v>91</v>
      </c>
      <c r="D113" s="185">
        <v>4050</v>
      </c>
      <c r="E113" s="198">
        <f t="shared" si="7"/>
        <v>4050</v>
      </c>
      <c r="F113" s="174">
        <v>4012</v>
      </c>
      <c r="G113" s="173">
        <f t="shared" si="5"/>
        <v>-38</v>
      </c>
      <c r="H113" s="173">
        <f t="shared" si="6"/>
        <v>99.061728395061735</v>
      </c>
      <c r="I113" s="3"/>
    </row>
    <row r="114" spans="1:9" s="9" customFormat="1" ht="50.25" customHeight="1" x14ac:dyDescent="0.25">
      <c r="A114" s="11" t="s">
        <v>409</v>
      </c>
      <c r="B114" s="4" t="s">
        <v>67</v>
      </c>
      <c r="C114" s="4" t="s">
        <v>6</v>
      </c>
      <c r="D114" s="184">
        <v>34.1</v>
      </c>
      <c r="E114" s="200">
        <f t="shared" si="7"/>
        <v>34.1</v>
      </c>
      <c r="F114" s="171">
        <v>0</v>
      </c>
      <c r="G114" s="171">
        <f t="shared" si="5"/>
        <v>-34.1</v>
      </c>
      <c r="H114" s="171">
        <f t="shared" si="6"/>
        <v>0</v>
      </c>
      <c r="I114" s="4"/>
    </row>
    <row r="115" spans="1:9" s="9" customFormat="1" ht="57" customHeight="1" x14ac:dyDescent="0.25">
      <c r="A115" s="6"/>
      <c r="B115" s="2" t="s">
        <v>64</v>
      </c>
      <c r="C115" s="2"/>
      <c r="D115" s="206"/>
      <c r="E115" s="198"/>
      <c r="F115" s="173"/>
      <c r="G115" s="173"/>
      <c r="H115" s="173"/>
      <c r="I115" s="2"/>
    </row>
    <row r="116" spans="1:9" s="9" customFormat="1" ht="16.5" customHeight="1" x14ac:dyDescent="0.25">
      <c r="A116" s="6"/>
      <c r="B116" s="2" t="s">
        <v>8</v>
      </c>
      <c r="C116" s="2"/>
      <c r="D116" s="206"/>
      <c r="E116" s="198"/>
      <c r="F116" s="173"/>
      <c r="G116" s="173"/>
      <c r="H116" s="173"/>
      <c r="I116" s="2"/>
    </row>
    <row r="117" spans="1:9" s="9" customFormat="1" ht="16.5" customHeight="1" x14ac:dyDescent="0.25">
      <c r="A117" s="6"/>
      <c r="B117" s="3" t="s">
        <v>65</v>
      </c>
      <c r="C117" s="3" t="s">
        <v>98</v>
      </c>
      <c r="D117" s="185">
        <v>10</v>
      </c>
      <c r="E117" s="198">
        <f t="shared" si="7"/>
        <v>10</v>
      </c>
      <c r="F117" s="174">
        <v>2.2999999999999998</v>
      </c>
      <c r="G117" s="173">
        <f t="shared" si="5"/>
        <v>-7.7</v>
      </c>
      <c r="H117" s="173">
        <f t="shared" si="6"/>
        <v>23</v>
      </c>
      <c r="I117" s="3"/>
    </row>
    <row r="118" spans="1:9" s="9" customFormat="1" ht="15.75" customHeight="1" x14ac:dyDescent="0.25">
      <c r="A118" s="6"/>
      <c r="B118" s="2" t="s">
        <v>9</v>
      </c>
      <c r="C118" s="2"/>
      <c r="D118" s="206"/>
      <c r="E118" s="198"/>
      <c r="F118" s="173"/>
      <c r="G118" s="173"/>
      <c r="H118" s="173"/>
      <c r="I118" s="2"/>
    </row>
    <row r="119" spans="1:9" s="9" customFormat="1" ht="15" customHeight="1" x14ac:dyDescent="0.25">
      <c r="A119" s="6"/>
      <c r="B119" s="3" t="s">
        <v>66</v>
      </c>
      <c r="C119" s="3" t="s">
        <v>99</v>
      </c>
      <c r="D119" s="185">
        <v>150000</v>
      </c>
      <c r="E119" s="198">
        <f t="shared" si="7"/>
        <v>150000</v>
      </c>
      <c r="F119" s="174">
        <v>36873.5</v>
      </c>
      <c r="G119" s="173">
        <f t="shared" si="5"/>
        <v>-113126.5</v>
      </c>
      <c r="H119" s="173">
        <f t="shared" si="6"/>
        <v>24.582333333333334</v>
      </c>
      <c r="I119" s="3"/>
    </row>
    <row r="120" spans="1:9" s="9" customFormat="1" ht="36" customHeight="1" x14ac:dyDescent="0.25">
      <c r="A120" s="11" t="s">
        <v>410</v>
      </c>
      <c r="B120" s="4" t="s">
        <v>380</v>
      </c>
      <c r="C120" s="4" t="s">
        <v>6</v>
      </c>
      <c r="D120" s="184">
        <v>33.6</v>
      </c>
      <c r="E120" s="200">
        <f t="shared" si="7"/>
        <v>33.6</v>
      </c>
      <c r="F120" s="171">
        <v>0</v>
      </c>
      <c r="G120" s="171">
        <f t="shared" si="5"/>
        <v>-33.6</v>
      </c>
      <c r="H120" s="171">
        <f t="shared" si="6"/>
        <v>0</v>
      </c>
      <c r="I120" s="4"/>
    </row>
    <row r="121" spans="1:9" s="9" customFormat="1" ht="25.5" customHeight="1" x14ac:dyDescent="0.25">
      <c r="A121" s="6"/>
      <c r="B121" s="2" t="s">
        <v>381</v>
      </c>
      <c r="C121" s="2"/>
      <c r="D121" s="206"/>
      <c r="E121" s="198"/>
      <c r="F121" s="173"/>
      <c r="G121" s="173"/>
      <c r="H121" s="173"/>
      <c r="I121" s="2"/>
    </row>
    <row r="122" spans="1:9" s="9" customFormat="1" ht="17.25" customHeight="1" x14ac:dyDescent="0.25">
      <c r="A122" s="6"/>
      <c r="B122" s="2" t="s">
        <v>8</v>
      </c>
      <c r="C122" s="2"/>
      <c r="D122" s="206"/>
      <c r="E122" s="198"/>
      <c r="F122" s="173"/>
      <c r="G122" s="173"/>
      <c r="H122" s="173"/>
      <c r="I122" s="2"/>
    </row>
    <row r="123" spans="1:9" s="9" customFormat="1" ht="24" customHeight="1" x14ac:dyDescent="0.25">
      <c r="A123" s="6"/>
      <c r="B123" s="3" t="s">
        <v>382</v>
      </c>
      <c r="C123" s="3" t="s">
        <v>92</v>
      </c>
      <c r="D123" s="185">
        <v>85</v>
      </c>
      <c r="E123" s="198">
        <f t="shared" si="7"/>
        <v>85</v>
      </c>
      <c r="F123" s="174">
        <v>71.3</v>
      </c>
      <c r="G123" s="173">
        <f t="shared" ref="G123:G175" si="8">+F123-E123</f>
        <v>-13.700000000000003</v>
      </c>
      <c r="H123" s="173">
        <f t="shared" ref="H123:H175" si="9">+F123/E123*100</f>
        <v>83.882352941176464</v>
      </c>
      <c r="I123" s="3"/>
    </row>
    <row r="124" spans="1:9" s="9" customFormat="1" ht="28.5" customHeight="1" x14ac:dyDescent="0.25">
      <c r="A124" s="6"/>
      <c r="B124" s="3" t="s">
        <v>383</v>
      </c>
      <c r="C124" s="3" t="s">
        <v>92</v>
      </c>
      <c r="D124" s="185">
        <v>85</v>
      </c>
      <c r="E124" s="198">
        <f t="shared" si="7"/>
        <v>85</v>
      </c>
      <c r="F124" s="174">
        <v>75.400000000000006</v>
      </c>
      <c r="G124" s="173">
        <f t="shared" si="8"/>
        <v>-9.5999999999999943</v>
      </c>
      <c r="H124" s="173">
        <f t="shared" si="9"/>
        <v>88.705882352941174</v>
      </c>
      <c r="I124" s="3"/>
    </row>
    <row r="125" spans="1:9" s="9" customFormat="1" ht="17.25" customHeight="1" x14ac:dyDescent="0.25">
      <c r="A125" s="6"/>
      <c r="B125" s="2" t="s">
        <v>9</v>
      </c>
      <c r="C125" s="2"/>
      <c r="D125" s="206"/>
      <c r="E125" s="198"/>
      <c r="F125" s="173"/>
      <c r="G125" s="173"/>
      <c r="H125" s="173"/>
      <c r="I125" s="2"/>
    </row>
    <row r="126" spans="1:9" s="9" customFormat="1" ht="27.75" customHeight="1" x14ac:dyDescent="0.25">
      <c r="A126" s="6"/>
      <c r="B126" s="3" t="s">
        <v>436</v>
      </c>
      <c r="C126" s="3" t="s">
        <v>384</v>
      </c>
      <c r="D126" s="185">
        <v>1.8</v>
      </c>
      <c r="E126" s="198">
        <f t="shared" si="7"/>
        <v>1.8</v>
      </c>
      <c r="F126" s="174">
        <v>1.8</v>
      </c>
      <c r="G126" s="173">
        <f t="shared" si="8"/>
        <v>0</v>
      </c>
      <c r="H126" s="173">
        <f t="shared" si="9"/>
        <v>100</v>
      </c>
      <c r="I126" s="3"/>
    </row>
    <row r="127" spans="1:9" x14ac:dyDescent="0.25">
      <c r="A127" s="19"/>
      <c r="B127" s="3" t="s">
        <v>385</v>
      </c>
      <c r="C127" s="3" t="s">
        <v>384</v>
      </c>
      <c r="D127" s="183">
        <v>1.9</v>
      </c>
      <c r="E127" s="198">
        <f t="shared" si="7"/>
        <v>1.9</v>
      </c>
      <c r="F127" s="174">
        <v>1.9</v>
      </c>
      <c r="G127" s="173">
        <f t="shared" si="8"/>
        <v>0</v>
      </c>
      <c r="H127" s="173">
        <f t="shared" si="9"/>
        <v>100</v>
      </c>
      <c r="I127" s="3"/>
    </row>
    <row r="128" spans="1:9" s="15" customFormat="1" ht="45.75" customHeight="1" x14ac:dyDescent="0.25">
      <c r="A128" s="11" t="s">
        <v>411</v>
      </c>
      <c r="B128" s="4" t="s">
        <v>77</v>
      </c>
      <c r="C128" s="4" t="s">
        <v>6</v>
      </c>
      <c r="D128" s="184">
        <v>22.4</v>
      </c>
      <c r="E128" s="200">
        <f t="shared" si="7"/>
        <v>22.4</v>
      </c>
      <c r="F128" s="171">
        <v>0</v>
      </c>
      <c r="G128" s="171">
        <f t="shared" si="8"/>
        <v>-22.4</v>
      </c>
      <c r="H128" s="171">
        <f t="shared" si="9"/>
        <v>0</v>
      </c>
      <c r="I128" s="4"/>
    </row>
    <row r="129" spans="1:9" s="9" customFormat="1" ht="44.25" customHeight="1" x14ac:dyDescent="0.25">
      <c r="A129" s="6"/>
      <c r="B129" s="2" t="s">
        <v>121</v>
      </c>
      <c r="C129" s="3"/>
      <c r="D129" s="206"/>
      <c r="E129" s="198"/>
      <c r="F129" s="174"/>
      <c r="G129" s="173"/>
      <c r="H129" s="173"/>
      <c r="I129" s="3"/>
    </row>
    <row r="130" spans="1:9" s="9" customFormat="1" ht="25.5" customHeight="1" x14ac:dyDescent="0.25">
      <c r="A130" s="6"/>
      <c r="B130" s="2" t="s">
        <v>8</v>
      </c>
      <c r="C130" s="2"/>
      <c r="D130" s="206"/>
      <c r="E130" s="198"/>
      <c r="F130" s="173"/>
      <c r="G130" s="173"/>
      <c r="H130" s="173"/>
      <c r="I130" s="2"/>
    </row>
    <row r="131" spans="1:9" s="9" customFormat="1" ht="25.5" customHeight="1" x14ac:dyDescent="0.25">
      <c r="A131" s="6"/>
      <c r="B131" s="3" t="s">
        <v>75</v>
      </c>
      <c r="C131" s="33" t="s">
        <v>92</v>
      </c>
      <c r="D131" s="185">
        <v>30</v>
      </c>
      <c r="E131" s="198">
        <f t="shared" si="7"/>
        <v>30</v>
      </c>
      <c r="F131" s="201">
        <v>5</v>
      </c>
      <c r="G131" s="173">
        <f t="shared" si="8"/>
        <v>-25</v>
      </c>
      <c r="H131" s="173">
        <f t="shared" si="9"/>
        <v>16.666666666666664</v>
      </c>
      <c r="I131" s="229" t="s">
        <v>437</v>
      </c>
    </row>
    <row r="132" spans="1:9" s="9" customFormat="1" ht="18" customHeight="1" x14ac:dyDescent="0.25">
      <c r="A132" s="6"/>
      <c r="B132" s="3" t="s">
        <v>76</v>
      </c>
      <c r="C132" s="33" t="s">
        <v>92</v>
      </c>
      <c r="D132" s="185">
        <v>20</v>
      </c>
      <c r="E132" s="198">
        <f t="shared" si="7"/>
        <v>20</v>
      </c>
      <c r="F132" s="201">
        <v>5</v>
      </c>
      <c r="G132" s="173">
        <f t="shared" si="8"/>
        <v>-15</v>
      </c>
      <c r="H132" s="173">
        <f t="shared" si="9"/>
        <v>25</v>
      </c>
      <c r="I132" s="229" t="s">
        <v>437</v>
      </c>
    </row>
    <row r="133" spans="1:9" s="9" customFormat="1" ht="15" customHeight="1" x14ac:dyDescent="0.25">
      <c r="A133" s="6"/>
      <c r="B133" s="2" t="s">
        <v>9</v>
      </c>
      <c r="C133" s="45"/>
      <c r="D133" s="206"/>
      <c r="E133" s="198"/>
      <c r="F133" s="173"/>
      <c r="G133" s="173"/>
      <c r="H133" s="173"/>
      <c r="I133" s="45"/>
    </row>
    <row r="134" spans="1:9" s="9" customFormat="1" ht="25.5" customHeight="1" x14ac:dyDescent="0.25">
      <c r="A134" s="6"/>
      <c r="B134" s="3" t="s">
        <v>78</v>
      </c>
      <c r="C134" s="33" t="s">
        <v>91</v>
      </c>
      <c r="D134" s="185">
        <v>500000</v>
      </c>
      <c r="E134" s="198">
        <f t="shared" si="7"/>
        <v>500000</v>
      </c>
      <c r="F134" s="174">
        <v>404827</v>
      </c>
      <c r="G134" s="173">
        <f t="shared" si="8"/>
        <v>-95173</v>
      </c>
      <c r="H134" s="173">
        <f t="shared" si="9"/>
        <v>80.965400000000002</v>
      </c>
      <c r="I134" s="33"/>
    </row>
    <row r="135" spans="1:9" s="9" customFormat="1" ht="25.5" customHeight="1" x14ac:dyDescent="0.25">
      <c r="A135" s="6"/>
      <c r="B135" s="3" t="s">
        <v>79</v>
      </c>
      <c r="C135" s="33" t="s">
        <v>91</v>
      </c>
      <c r="D135" s="185">
        <v>15000</v>
      </c>
      <c r="E135" s="198">
        <f t="shared" si="7"/>
        <v>15000</v>
      </c>
      <c r="F135" s="174">
        <v>4687</v>
      </c>
      <c r="G135" s="173">
        <f t="shared" si="8"/>
        <v>-10313</v>
      </c>
      <c r="H135" s="173">
        <f t="shared" si="9"/>
        <v>31.246666666666666</v>
      </c>
      <c r="I135" s="33"/>
    </row>
    <row r="136" spans="1:9" s="9" customFormat="1" ht="25.5" customHeight="1" x14ac:dyDescent="0.25">
      <c r="A136" s="6"/>
      <c r="B136" s="3" t="s">
        <v>107</v>
      </c>
      <c r="C136" s="33" t="s">
        <v>91</v>
      </c>
      <c r="D136" s="185">
        <v>10500</v>
      </c>
      <c r="E136" s="198">
        <f t="shared" si="7"/>
        <v>10500</v>
      </c>
      <c r="F136" s="174">
        <v>4140</v>
      </c>
      <c r="G136" s="173">
        <f t="shared" si="8"/>
        <v>-6360</v>
      </c>
      <c r="H136" s="173">
        <f t="shared" si="9"/>
        <v>39.428571428571431</v>
      </c>
      <c r="I136" s="33"/>
    </row>
    <row r="137" spans="1:9" s="9" customFormat="1" ht="25.5" customHeight="1" x14ac:dyDescent="0.25">
      <c r="A137" s="6"/>
      <c r="B137" s="3" t="s">
        <v>83</v>
      </c>
      <c r="C137" s="33" t="s">
        <v>91</v>
      </c>
      <c r="D137" s="185">
        <v>10500</v>
      </c>
      <c r="E137" s="198">
        <f t="shared" si="7"/>
        <v>10500</v>
      </c>
      <c r="F137" s="174">
        <v>8346</v>
      </c>
      <c r="G137" s="173">
        <f t="shared" si="8"/>
        <v>-2154</v>
      </c>
      <c r="H137" s="173">
        <f t="shared" si="9"/>
        <v>79.48571428571428</v>
      </c>
      <c r="I137" s="33"/>
    </row>
    <row r="138" spans="1:9" s="9" customFormat="1" ht="25.5" customHeight="1" x14ac:dyDescent="0.25">
      <c r="A138" s="6"/>
      <c r="B138" s="3" t="s">
        <v>100</v>
      </c>
      <c r="C138" s="33" t="s">
        <v>91</v>
      </c>
      <c r="D138" s="185">
        <v>11000</v>
      </c>
      <c r="E138" s="198">
        <f t="shared" ref="E138:E175" si="10">+D138</f>
        <v>11000</v>
      </c>
      <c r="F138" s="174">
        <v>5417</v>
      </c>
      <c r="G138" s="173">
        <f t="shared" si="8"/>
        <v>-5583</v>
      </c>
      <c r="H138" s="173">
        <f t="shared" si="9"/>
        <v>49.24545454545455</v>
      </c>
      <c r="I138" s="33"/>
    </row>
    <row r="139" spans="1:9" ht="51.75" customHeight="1" x14ac:dyDescent="0.25">
      <c r="A139" s="17" t="s">
        <v>412</v>
      </c>
      <c r="B139" s="16" t="s">
        <v>386</v>
      </c>
      <c r="C139" s="12" t="s">
        <v>6</v>
      </c>
      <c r="D139" s="184">
        <v>21.4</v>
      </c>
      <c r="E139" s="200">
        <f t="shared" si="10"/>
        <v>21.4</v>
      </c>
      <c r="F139" s="184">
        <v>0</v>
      </c>
      <c r="G139" s="171">
        <f t="shared" si="8"/>
        <v>-21.4</v>
      </c>
      <c r="H139" s="171">
        <f t="shared" si="9"/>
        <v>0</v>
      </c>
      <c r="I139" s="12"/>
    </row>
    <row r="140" spans="1:9" s="9" customFormat="1" ht="50.25" customHeight="1" x14ac:dyDescent="0.25">
      <c r="A140" s="160"/>
      <c r="B140" s="46" t="s">
        <v>387</v>
      </c>
      <c r="C140" s="46"/>
      <c r="D140" s="206"/>
      <c r="E140" s="198"/>
      <c r="F140" s="185"/>
      <c r="G140" s="173"/>
      <c r="H140" s="173"/>
      <c r="I140" s="46"/>
    </row>
    <row r="141" spans="1:9" s="9" customFormat="1" ht="25.5" customHeight="1" x14ac:dyDescent="0.25">
      <c r="A141" s="6"/>
      <c r="B141" s="2" t="s">
        <v>8</v>
      </c>
      <c r="C141" s="2"/>
      <c r="D141" s="206"/>
      <c r="E141" s="198"/>
      <c r="F141" s="173"/>
      <c r="G141" s="173"/>
      <c r="H141" s="173"/>
      <c r="I141" s="2"/>
    </row>
    <row r="142" spans="1:9" s="9" customFormat="1" ht="25.5" customHeight="1" x14ac:dyDescent="0.25">
      <c r="A142" s="160"/>
      <c r="B142" s="46" t="s">
        <v>388</v>
      </c>
      <c r="C142" s="46" t="s">
        <v>92</v>
      </c>
      <c r="D142" s="185">
        <v>100</v>
      </c>
      <c r="E142" s="198">
        <f t="shared" si="10"/>
        <v>100</v>
      </c>
      <c r="F142" s="185">
        <v>0</v>
      </c>
      <c r="G142" s="173">
        <f t="shared" si="8"/>
        <v>-100</v>
      </c>
      <c r="H142" s="173">
        <f t="shared" si="9"/>
        <v>0</v>
      </c>
      <c r="I142" s="46"/>
    </row>
    <row r="143" spans="1:9" s="9" customFormat="1" ht="25.5" customHeight="1" x14ac:dyDescent="0.25">
      <c r="A143" s="6"/>
      <c r="B143" s="2" t="s">
        <v>9</v>
      </c>
      <c r="C143" s="2"/>
      <c r="D143" s="206"/>
      <c r="E143" s="198"/>
      <c r="F143" s="173"/>
      <c r="G143" s="173"/>
      <c r="H143" s="173"/>
      <c r="I143" s="2"/>
    </row>
    <row r="144" spans="1:9" s="9" customFormat="1" ht="25.5" customHeight="1" x14ac:dyDescent="0.25">
      <c r="A144" s="160"/>
      <c r="B144" s="46" t="s">
        <v>389</v>
      </c>
      <c r="C144" s="46" t="s">
        <v>92</v>
      </c>
      <c r="D144" s="185">
        <v>10</v>
      </c>
      <c r="E144" s="198">
        <f t="shared" si="10"/>
        <v>10</v>
      </c>
      <c r="F144" s="185">
        <v>0</v>
      </c>
      <c r="G144" s="173">
        <f t="shared" si="8"/>
        <v>-10</v>
      </c>
      <c r="H144" s="173">
        <f t="shared" si="9"/>
        <v>0</v>
      </c>
      <c r="I144" s="46"/>
    </row>
    <row r="145" spans="1:9" s="9" customFormat="1" ht="41.25" customHeight="1" x14ac:dyDescent="0.25">
      <c r="A145" s="11" t="s">
        <v>413</v>
      </c>
      <c r="B145" s="4" t="s">
        <v>390</v>
      </c>
      <c r="C145" s="4" t="s">
        <v>6</v>
      </c>
      <c r="D145" s="184">
        <v>55.534999999999997</v>
      </c>
      <c r="E145" s="200">
        <v>55.534999999999997</v>
      </c>
      <c r="F145" s="171">
        <v>23</v>
      </c>
      <c r="G145" s="171">
        <f t="shared" si="8"/>
        <v>-32.534999999999997</v>
      </c>
      <c r="H145" s="171">
        <f t="shared" si="9"/>
        <v>41.415323669757811</v>
      </c>
      <c r="I145" s="4"/>
    </row>
    <row r="146" spans="1:9" s="9" customFormat="1" ht="26.25" customHeight="1" x14ac:dyDescent="0.25">
      <c r="A146" s="6"/>
      <c r="B146" s="3" t="s">
        <v>391</v>
      </c>
      <c r="C146" s="3"/>
      <c r="D146" s="206"/>
      <c r="E146" s="198"/>
      <c r="F146" s="174"/>
      <c r="G146" s="173"/>
      <c r="H146" s="173"/>
      <c r="I146" s="3"/>
    </row>
    <row r="147" spans="1:9" s="9" customFormat="1" ht="17.25" customHeight="1" x14ac:dyDescent="0.25">
      <c r="A147" s="6"/>
      <c r="B147" s="2" t="s">
        <v>8</v>
      </c>
      <c r="C147" s="2"/>
      <c r="D147" s="206"/>
      <c r="E147" s="198"/>
      <c r="F147" s="173"/>
      <c r="G147" s="173"/>
      <c r="H147" s="173"/>
      <c r="I147" s="2"/>
    </row>
    <row r="148" spans="1:9" s="9" customFormat="1" ht="28.5" customHeight="1" x14ac:dyDescent="0.25">
      <c r="A148" s="6"/>
      <c r="B148" s="3" t="s">
        <v>392</v>
      </c>
      <c r="C148" s="13" t="s">
        <v>97</v>
      </c>
      <c r="D148" s="185">
        <v>1.1000000000000001</v>
      </c>
      <c r="E148" s="198">
        <f t="shared" si="10"/>
        <v>1.1000000000000001</v>
      </c>
      <c r="F148" s="183">
        <v>0.2</v>
      </c>
      <c r="G148" s="173">
        <f t="shared" si="8"/>
        <v>-0.90000000000000013</v>
      </c>
      <c r="H148" s="173">
        <f t="shared" si="9"/>
        <v>18.181818181818183</v>
      </c>
      <c r="I148" s="13"/>
    </row>
    <row r="149" spans="1:9" s="9" customFormat="1" ht="15.75" customHeight="1" x14ac:dyDescent="0.25">
      <c r="A149" s="6"/>
      <c r="B149" s="2" t="s">
        <v>9</v>
      </c>
      <c r="C149" s="2"/>
      <c r="D149" s="206"/>
      <c r="E149" s="198"/>
      <c r="F149" s="173"/>
      <c r="G149" s="173"/>
      <c r="H149" s="173"/>
      <c r="I149" s="2"/>
    </row>
    <row r="150" spans="1:9" s="9" customFormat="1" ht="20.25" customHeight="1" x14ac:dyDescent="0.25">
      <c r="A150" s="6"/>
      <c r="B150" s="3" t="s">
        <v>393</v>
      </c>
      <c r="C150" s="33" t="s">
        <v>91</v>
      </c>
      <c r="D150" s="185">
        <v>50</v>
      </c>
      <c r="E150" s="198">
        <f t="shared" si="10"/>
        <v>50</v>
      </c>
      <c r="F150" s="174">
        <v>0</v>
      </c>
      <c r="G150" s="173">
        <f t="shared" si="8"/>
        <v>-50</v>
      </c>
      <c r="H150" s="173">
        <f t="shared" si="9"/>
        <v>0</v>
      </c>
      <c r="I150" s="33"/>
    </row>
    <row r="151" spans="1:9" s="9" customFormat="1" ht="51.75" customHeight="1" x14ac:dyDescent="0.25">
      <c r="A151" s="11" t="s">
        <v>414</v>
      </c>
      <c r="B151" s="4" t="s">
        <v>84</v>
      </c>
      <c r="C151" s="4" t="s">
        <v>6</v>
      </c>
      <c r="D151" s="184">
        <v>9.6999999999999993</v>
      </c>
      <c r="E151" s="200">
        <f t="shared" si="10"/>
        <v>9.6999999999999993</v>
      </c>
      <c r="F151" s="171">
        <v>0</v>
      </c>
      <c r="G151" s="171">
        <f t="shared" si="8"/>
        <v>-9.6999999999999993</v>
      </c>
      <c r="H151" s="171">
        <f t="shared" si="9"/>
        <v>0</v>
      </c>
      <c r="I151" s="4"/>
    </row>
    <row r="152" spans="1:9" s="9" customFormat="1" ht="69" customHeight="1" x14ac:dyDescent="0.25">
      <c r="A152" s="6"/>
      <c r="B152" s="3" t="s">
        <v>85</v>
      </c>
      <c r="C152" s="3"/>
      <c r="D152" s="206"/>
      <c r="E152" s="198"/>
      <c r="F152" s="174"/>
      <c r="G152" s="173"/>
      <c r="H152" s="173"/>
      <c r="I152" s="3"/>
    </row>
    <row r="153" spans="1:9" s="9" customFormat="1" ht="15" customHeight="1" x14ac:dyDescent="0.25">
      <c r="A153" s="6"/>
      <c r="B153" s="2" t="s">
        <v>8</v>
      </c>
      <c r="C153" s="2"/>
      <c r="D153" s="206"/>
      <c r="E153" s="198"/>
      <c r="F153" s="173"/>
      <c r="G153" s="173"/>
      <c r="H153" s="173"/>
      <c r="I153" s="2"/>
    </row>
    <row r="154" spans="1:9" s="9" customFormat="1" ht="26.25" customHeight="1" x14ac:dyDescent="0.25">
      <c r="A154" s="6"/>
      <c r="B154" s="3" t="s">
        <v>86</v>
      </c>
      <c r="C154" s="3" t="s">
        <v>101</v>
      </c>
      <c r="D154" s="185">
        <v>809</v>
      </c>
      <c r="E154" s="198">
        <f t="shared" si="10"/>
        <v>809</v>
      </c>
      <c r="F154" s="174">
        <v>70</v>
      </c>
      <c r="G154" s="173">
        <f t="shared" si="8"/>
        <v>-739</v>
      </c>
      <c r="H154" s="173">
        <f t="shared" si="9"/>
        <v>8.6526576019777508</v>
      </c>
      <c r="I154" s="3"/>
    </row>
    <row r="155" spans="1:9" s="9" customFormat="1" ht="16.5" customHeight="1" x14ac:dyDescent="0.25">
      <c r="A155" s="6"/>
      <c r="B155" s="2" t="s">
        <v>9</v>
      </c>
      <c r="C155" s="2"/>
      <c r="D155" s="206"/>
      <c r="E155" s="198"/>
      <c r="F155" s="173"/>
      <c r="G155" s="173"/>
      <c r="H155" s="173"/>
      <c r="I155" s="2"/>
    </row>
    <row r="156" spans="1:9" s="9" customFormat="1" ht="66" customHeight="1" x14ac:dyDescent="0.25">
      <c r="A156" s="6"/>
      <c r="B156" s="3" t="s">
        <v>106</v>
      </c>
      <c r="C156" s="3" t="s">
        <v>92</v>
      </c>
      <c r="D156" s="185">
        <v>70</v>
      </c>
      <c r="E156" s="198">
        <f t="shared" si="10"/>
        <v>70</v>
      </c>
      <c r="F156" s="174">
        <v>25</v>
      </c>
      <c r="G156" s="173">
        <f t="shared" si="8"/>
        <v>-45</v>
      </c>
      <c r="H156" s="173">
        <f t="shared" si="9"/>
        <v>35.714285714285715</v>
      </c>
      <c r="I156" s="3" t="s">
        <v>431</v>
      </c>
    </row>
    <row r="157" spans="1:9" ht="51.75" customHeight="1" x14ac:dyDescent="0.25">
      <c r="A157" s="17" t="s">
        <v>415</v>
      </c>
      <c r="B157" s="16" t="s">
        <v>87</v>
      </c>
      <c r="C157" s="12" t="s">
        <v>6</v>
      </c>
      <c r="D157" s="184">
        <v>200</v>
      </c>
      <c r="E157" s="200">
        <f t="shared" si="10"/>
        <v>200</v>
      </c>
      <c r="F157" s="184">
        <v>185</v>
      </c>
      <c r="G157" s="171">
        <f t="shared" si="8"/>
        <v>-15</v>
      </c>
      <c r="H157" s="171">
        <f t="shared" si="9"/>
        <v>92.5</v>
      </c>
      <c r="I157" s="12"/>
    </row>
    <row r="158" spans="1:9" ht="28.5" customHeight="1" x14ac:dyDescent="0.25">
      <c r="A158" s="160"/>
      <c r="B158" s="46" t="s">
        <v>88</v>
      </c>
      <c r="C158" s="13"/>
      <c r="D158" s="205"/>
      <c r="E158" s="198"/>
      <c r="F158" s="183"/>
      <c r="G158" s="173"/>
      <c r="H158" s="173"/>
      <c r="I158" s="13"/>
    </row>
    <row r="159" spans="1:9" s="9" customFormat="1" ht="20.25" customHeight="1" x14ac:dyDescent="0.25">
      <c r="A159" s="6"/>
      <c r="B159" s="2" t="s">
        <v>8</v>
      </c>
      <c r="C159" s="2"/>
      <c r="D159" s="206"/>
      <c r="E159" s="198"/>
      <c r="F159" s="173"/>
      <c r="G159" s="173"/>
      <c r="H159" s="173"/>
      <c r="I159" s="2"/>
    </row>
    <row r="160" spans="1:9" ht="26.25" customHeight="1" x14ac:dyDescent="0.25">
      <c r="A160" s="19"/>
      <c r="B160" s="46" t="s">
        <v>89</v>
      </c>
      <c r="C160" s="13" t="s">
        <v>92</v>
      </c>
      <c r="D160" s="183">
        <v>100</v>
      </c>
      <c r="E160" s="198">
        <f t="shared" si="10"/>
        <v>100</v>
      </c>
      <c r="F160" s="183">
        <v>100</v>
      </c>
      <c r="G160" s="173">
        <f t="shared" si="8"/>
        <v>0</v>
      </c>
      <c r="H160" s="173">
        <f t="shared" si="9"/>
        <v>100</v>
      </c>
      <c r="I160" s="13"/>
    </row>
    <row r="161" spans="1:9" s="9" customFormat="1" ht="18" customHeight="1" x14ac:dyDescent="0.25">
      <c r="A161" s="6"/>
      <c r="B161" s="2" t="s">
        <v>9</v>
      </c>
      <c r="C161" s="2"/>
      <c r="D161" s="206"/>
      <c r="E161" s="198"/>
      <c r="F161" s="173"/>
      <c r="G161" s="173"/>
      <c r="H161" s="173"/>
      <c r="I161" s="2"/>
    </row>
    <row r="162" spans="1:9" ht="17.25" customHeight="1" x14ac:dyDescent="0.25">
      <c r="A162" s="19"/>
      <c r="B162" s="46" t="s">
        <v>90</v>
      </c>
      <c r="C162" s="13" t="s">
        <v>91</v>
      </c>
      <c r="D162" s="183">
        <v>160</v>
      </c>
      <c r="E162" s="198">
        <f t="shared" si="10"/>
        <v>160</v>
      </c>
      <c r="F162" s="183">
        <v>158</v>
      </c>
      <c r="G162" s="173">
        <f t="shared" si="8"/>
        <v>-2</v>
      </c>
      <c r="H162" s="173">
        <f t="shared" si="9"/>
        <v>98.75</v>
      </c>
      <c r="I162" s="13"/>
    </row>
    <row r="163" spans="1:9" s="9" customFormat="1" ht="39.75" customHeight="1" x14ac:dyDescent="0.25">
      <c r="A163" s="11" t="s">
        <v>416</v>
      </c>
      <c r="B163" s="4" t="s">
        <v>80</v>
      </c>
      <c r="C163" s="4" t="s">
        <v>6</v>
      </c>
      <c r="D163" s="184">
        <v>50</v>
      </c>
      <c r="E163" s="200">
        <f t="shared" si="10"/>
        <v>50</v>
      </c>
      <c r="F163" s="171">
        <v>0</v>
      </c>
      <c r="G163" s="171">
        <f t="shared" si="8"/>
        <v>-50</v>
      </c>
      <c r="H163" s="171">
        <f t="shared" si="9"/>
        <v>0</v>
      </c>
      <c r="I163" s="4"/>
    </row>
    <row r="164" spans="1:9" s="9" customFormat="1" ht="42.75" customHeight="1" x14ac:dyDescent="0.25">
      <c r="A164" s="6"/>
      <c r="B164" s="2" t="s">
        <v>81</v>
      </c>
      <c r="C164" s="2"/>
      <c r="D164" s="206"/>
      <c r="E164" s="198"/>
      <c r="F164" s="173"/>
      <c r="G164" s="173"/>
      <c r="H164" s="173"/>
      <c r="I164" s="2"/>
    </row>
    <row r="165" spans="1:9" s="9" customFormat="1" ht="18.75" customHeight="1" x14ac:dyDescent="0.25">
      <c r="A165" s="6"/>
      <c r="B165" s="2" t="s">
        <v>8</v>
      </c>
      <c r="C165" s="2"/>
      <c r="D165" s="206"/>
      <c r="E165" s="198"/>
      <c r="F165" s="173"/>
      <c r="G165" s="173"/>
      <c r="H165" s="173"/>
      <c r="I165" s="2"/>
    </row>
    <row r="166" spans="1:9" s="9" customFormat="1" ht="18.75" customHeight="1" x14ac:dyDescent="0.25">
      <c r="A166" s="6"/>
      <c r="B166" s="3" t="s">
        <v>82</v>
      </c>
      <c r="C166" s="3" t="s">
        <v>92</v>
      </c>
      <c r="D166" s="185">
        <v>100</v>
      </c>
      <c r="E166" s="198">
        <f t="shared" si="10"/>
        <v>100</v>
      </c>
      <c r="F166" s="174">
        <v>0</v>
      </c>
      <c r="G166" s="173">
        <f t="shared" si="8"/>
        <v>-100</v>
      </c>
      <c r="H166" s="173">
        <f t="shared" si="9"/>
        <v>0</v>
      </c>
      <c r="I166" s="3"/>
    </row>
    <row r="167" spans="1:9" s="9" customFormat="1" x14ac:dyDescent="0.25">
      <c r="A167" s="23"/>
      <c r="B167" s="2" t="s">
        <v>9</v>
      </c>
      <c r="C167" s="23"/>
      <c r="D167" s="206"/>
      <c r="E167" s="198"/>
      <c r="F167" s="186"/>
      <c r="G167" s="173"/>
      <c r="H167" s="173"/>
      <c r="I167" s="23"/>
    </row>
    <row r="168" spans="1:9" s="9" customFormat="1" ht="21.75" customHeight="1" x14ac:dyDescent="0.25">
      <c r="A168" s="24"/>
      <c r="B168" s="50" t="s">
        <v>114</v>
      </c>
      <c r="C168" s="24" t="s">
        <v>111</v>
      </c>
      <c r="D168" s="185">
        <v>120</v>
      </c>
      <c r="E168" s="198">
        <f t="shared" si="10"/>
        <v>120</v>
      </c>
      <c r="F168" s="187">
        <v>0</v>
      </c>
      <c r="G168" s="173">
        <f t="shared" si="8"/>
        <v>-120</v>
      </c>
      <c r="H168" s="173">
        <f t="shared" si="9"/>
        <v>0</v>
      </c>
      <c r="I168" s="24"/>
    </row>
    <row r="169" spans="1:9" s="9" customFormat="1" ht="60.75" customHeight="1" x14ac:dyDescent="0.25">
      <c r="A169" s="161" t="s">
        <v>427</v>
      </c>
      <c r="B169" s="43" t="s">
        <v>115</v>
      </c>
      <c r="C169" s="42" t="s">
        <v>112</v>
      </c>
      <c r="D169" s="184">
        <v>50</v>
      </c>
      <c r="E169" s="200">
        <f t="shared" si="10"/>
        <v>50</v>
      </c>
      <c r="F169" s="188">
        <v>0</v>
      </c>
      <c r="G169" s="171">
        <f t="shared" si="8"/>
        <v>-50</v>
      </c>
      <c r="H169" s="171">
        <f t="shared" si="9"/>
        <v>0</v>
      </c>
      <c r="I169" s="42" t="s">
        <v>424</v>
      </c>
    </row>
    <row r="170" spans="1:9" ht="38.25" x14ac:dyDescent="0.25">
      <c r="A170" s="24"/>
      <c r="B170" s="21" t="s">
        <v>116</v>
      </c>
      <c r="C170" s="20"/>
      <c r="D170" s="205"/>
      <c r="E170" s="198"/>
      <c r="F170" s="189"/>
      <c r="G170" s="173"/>
      <c r="H170" s="173"/>
      <c r="I170" s="20"/>
    </row>
    <row r="171" spans="1:9" x14ac:dyDescent="0.25">
      <c r="A171" s="22"/>
      <c r="B171" s="2" t="s">
        <v>8</v>
      </c>
      <c r="C171" s="22"/>
      <c r="D171" s="205"/>
      <c r="E171" s="198"/>
      <c r="F171" s="190"/>
      <c r="G171" s="173"/>
      <c r="H171" s="173"/>
      <c r="I171" s="22"/>
    </row>
    <row r="172" spans="1:9" ht="20.25" customHeight="1" x14ac:dyDescent="0.25">
      <c r="A172" s="20"/>
      <c r="B172" s="21" t="s">
        <v>118</v>
      </c>
      <c r="C172" s="20" t="s">
        <v>110</v>
      </c>
      <c r="D172" s="183">
        <v>100</v>
      </c>
      <c r="E172" s="198">
        <f t="shared" si="10"/>
        <v>100</v>
      </c>
      <c r="F172" s="189">
        <v>25</v>
      </c>
      <c r="G172" s="173">
        <f t="shared" si="8"/>
        <v>-75</v>
      </c>
      <c r="H172" s="173">
        <f t="shared" si="9"/>
        <v>25</v>
      </c>
      <c r="I172" s="20"/>
    </row>
    <row r="173" spans="1:9" x14ac:dyDescent="0.25">
      <c r="A173" s="22"/>
      <c r="B173" s="2" t="s">
        <v>9</v>
      </c>
      <c r="C173" s="22"/>
      <c r="D173" s="205"/>
      <c r="E173" s="198"/>
      <c r="F173" s="190"/>
      <c r="G173" s="173"/>
      <c r="H173" s="173"/>
      <c r="I173" s="22"/>
    </row>
    <row r="174" spans="1:9" x14ac:dyDescent="0.25">
      <c r="A174" s="20"/>
      <c r="B174" s="21" t="s">
        <v>117</v>
      </c>
      <c r="C174" s="20" t="s">
        <v>113</v>
      </c>
      <c r="D174" s="183">
        <v>3</v>
      </c>
      <c r="E174" s="198">
        <f t="shared" si="10"/>
        <v>3</v>
      </c>
      <c r="F174" s="189">
        <v>0</v>
      </c>
      <c r="G174" s="173">
        <f t="shared" si="8"/>
        <v>-3</v>
      </c>
      <c r="H174" s="173">
        <f t="shared" si="9"/>
        <v>0</v>
      </c>
      <c r="I174" s="20"/>
    </row>
    <row r="175" spans="1:9" x14ac:dyDescent="0.25">
      <c r="A175" s="20"/>
      <c r="B175" s="21" t="s">
        <v>119</v>
      </c>
      <c r="C175" s="20" t="s">
        <v>113</v>
      </c>
      <c r="D175" s="183">
        <v>100</v>
      </c>
      <c r="E175" s="198">
        <f t="shared" si="10"/>
        <v>100</v>
      </c>
      <c r="F175" s="189">
        <v>40</v>
      </c>
      <c r="G175" s="173">
        <f t="shared" si="8"/>
        <v>-60</v>
      </c>
      <c r="H175" s="173">
        <f t="shared" si="9"/>
        <v>40</v>
      </c>
      <c r="I175" s="20"/>
    </row>
  </sheetData>
  <autoFilter ref="A4:I175" xr:uid="{00000000-0009-0000-0000-000000000000}"/>
  <mergeCells count="7">
    <mergeCell ref="E3:H3"/>
    <mergeCell ref="I3:I4"/>
    <mergeCell ref="A1:I1"/>
    <mergeCell ref="A3:A4"/>
    <mergeCell ref="B3:B4"/>
    <mergeCell ref="C3:C4"/>
    <mergeCell ref="D3:D4"/>
  </mergeCells>
  <pageMargins left="0.70866141732283472" right="0" top="0.19685039370078741" bottom="0.19685039370078741" header="0.19685039370078741" footer="0.19685039370078741"/>
  <pageSetup paperSize="9" scale="50" orientation="landscape" r:id="rId1"/>
  <rowBreaks count="6" manualBreakCount="6">
    <brk id="18" max="16383" man="1"/>
    <brk id="53" max="16383" man="1"/>
    <brk id="77" max="16383" man="1"/>
    <brk id="95" max="5" man="1"/>
    <brk id="136" max="5" man="1"/>
    <brk id="1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62F2D-9B1D-4AFA-921F-5950EA39F51C}">
  <dimension ref="A1:M400"/>
  <sheetViews>
    <sheetView workbookViewId="0">
      <selection activeCell="E13" sqref="E13"/>
    </sheetView>
  </sheetViews>
  <sheetFormatPr defaultColWidth="9.140625" defaultRowHeight="23.25" x14ac:dyDescent="0.25"/>
  <cols>
    <col min="1" max="1" width="5.140625" style="51" customWidth="1"/>
    <col min="2" max="2" width="82" style="52" customWidth="1"/>
    <col min="3" max="3" width="20.5703125" style="53" bestFit="1" customWidth="1"/>
    <col min="4" max="5" width="21" style="53" customWidth="1"/>
    <col min="6" max="6" width="21" style="54" customWidth="1"/>
    <col min="7" max="7" width="18.28515625" style="54" customWidth="1"/>
    <col min="8" max="8" width="19.5703125" style="55" hidden="1" customWidth="1"/>
    <col min="9" max="9" width="17.7109375" style="54" bestFit="1" customWidth="1"/>
    <col min="10" max="10" width="15.42578125" style="54" customWidth="1"/>
    <col min="11" max="11" width="21" style="54" customWidth="1"/>
    <col min="12" max="12" width="15.28515625" style="54" customWidth="1"/>
    <col min="13" max="13" width="15" style="54" customWidth="1"/>
    <col min="14" max="16384" width="9.140625" style="54"/>
  </cols>
  <sheetData>
    <row r="1" spans="1:13" ht="16.5" customHeight="1" x14ac:dyDescent="0.25"/>
    <row r="2" spans="1:13" ht="14.25" customHeight="1" x14ac:dyDescent="0.25">
      <c r="I2" s="56"/>
      <c r="K2" s="57"/>
    </row>
    <row r="3" spans="1:13" s="60" customFormat="1" ht="9" customHeight="1" x14ac:dyDescent="0.25">
      <c r="A3" s="58"/>
      <c r="B3" s="59"/>
      <c r="C3" s="59"/>
      <c r="D3" s="59"/>
      <c r="E3" s="59"/>
      <c r="H3" s="55"/>
      <c r="I3" s="61"/>
      <c r="K3" s="62"/>
      <c r="L3" s="62"/>
      <c r="M3" s="63"/>
    </row>
    <row r="4" spans="1:13" s="60" customFormat="1" ht="9" hidden="1" customHeight="1" x14ac:dyDescent="0.25">
      <c r="A4" s="58"/>
      <c r="B4" s="59"/>
      <c r="C4" s="59"/>
      <c r="D4" s="59"/>
      <c r="E4" s="59"/>
      <c r="H4" s="64"/>
      <c r="I4" s="65"/>
      <c r="J4" s="66"/>
      <c r="K4" s="65"/>
    </row>
    <row r="5" spans="1:13" s="73" customFormat="1" ht="58.5" customHeight="1" x14ac:dyDescent="0.25">
      <c r="A5" s="227" t="s">
        <v>129</v>
      </c>
      <c r="B5" s="227"/>
      <c r="C5" s="227"/>
      <c r="D5" s="67"/>
      <c r="E5" s="68"/>
      <c r="F5" s="69"/>
      <c r="G5" s="69"/>
      <c r="H5" s="70"/>
      <c r="I5" s="69"/>
      <c r="J5" s="71"/>
      <c r="K5" s="69"/>
      <c r="L5" s="72"/>
    </row>
    <row r="6" spans="1:13" s="75" customFormat="1" x14ac:dyDescent="0.25">
      <c r="A6" s="228"/>
      <c r="B6" s="228"/>
      <c r="C6" s="74" t="s">
        <v>130</v>
      </c>
      <c r="D6" s="74"/>
      <c r="E6" s="74"/>
      <c r="H6" s="76"/>
    </row>
    <row r="7" spans="1:13" s="75" customFormat="1" x14ac:dyDescent="0.25">
      <c r="A7" s="77" t="s">
        <v>131</v>
      </c>
      <c r="B7" s="78" t="s">
        <v>132</v>
      </c>
      <c r="C7" s="78" t="s">
        <v>133</v>
      </c>
      <c r="D7" s="65"/>
      <c r="E7" s="79"/>
      <c r="F7" s="79"/>
      <c r="G7" s="80"/>
      <c r="H7" s="76"/>
    </row>
    <row r="8" spans="1:13" s="75" customFormat="1" x14ac:dyDescent="0.25">
      <c r="A8" s="81" t="s">
        <v>134</v>
      </c>
      <c r="B8" s="82" t="s">
        <v>135</v>
      </c>
      <c r="C8" s="83">
        <f>+C10+C25</f>
        <v>59464225.611376598</v>
      </c>
      <c r="D8" s="79"/>
      <c r="E8" s="79"/>
      <c r="F8" s="80"/>
      <c r="G8" s="80"/>
      <c r="H8" s="76"/>
    </row>
    <row r="9" spans="1:13" s="75" customFormat="1" x14ac:dyDescent="0.25">
      <c r="A9" s="84"/>
      <c r="B9" s="85" t="s">
        <v>136</v>
      </c>
      <c r="C9" s="86"/>
      <c r="D9" s="87"/>
      <c r="E9" s="87"/>
      <c r="H9" s="76"/>
    </row>
    <row r="10" spans="1:13" s="75" customFormat="1" x14ac:dyDescent="0.25">
      <c r="A10" s="88"/>
      <c r="B10" s="89" t="s">
        <v>137</v>
      </c>
      <c r="C10" s="86">
        <f>59464225.6113766-C25</f>
        <v>55454225.611376598</v>
      </c>
      <c r="D10" s="87"/>
      <c r="E10" s="87"/>
      <c r="H10" s="76"/>
    </row>
    <row r="11" spans="1:13" s="75" customFormat="1" x14ac:dyDescent="0.25">
      <c r="A11" s="88"/>
      <c r="B11" s="90" t="s">
        <v>138</v>
      </c>
      <c r="C11" s="86"/>
      <c r="D11" s="87"/>
      <c r="E11" s="87"/>
      <c r="H11" s="76"/>
    </row>
    <row r="12" spans="1:13" s="75" customFormat="1" x14ac:dyDescent="0.25">
      <c r="A12" s="88"/>
      <c r="B12" s="91" t="s">
        <v>139</v>
      </c>
      <c r="C12" s="86">
        <f>+SUM(C13:C24)</f>
        <v>6631679</v>
      </c>
      <c r="D12" s="92"/>
      <c r="E12" s="87"/>
      <c r="G12" s="93"/>
      <c r="H12" s="76"/>
    </row>
    <row r="13" spans="1:13" s="75" customFormat="1" ht="33" x14ac:dyDescent="0.25">
      <c r="A13" s="88"/>
      <c r="B13" s="90" t="s">
        <v>140</v>
      </c>
      <c r="C13" s="86">
        <v>1300000</v>
      </c>
      <c r="D13" s="92"/>
      <c r="E13" s="87"/>
      <c r="H13" s="76"/>
    </row>
    <row r="14" spans="1:13" s="75" customFormat="1" ht="33" x14ac:dyDescent="0.25">
      <c r="A14" s="88"/>
      <c r="B14" s="90" t="s">
        <v>141</v>
      </c>
      <c r="C14" s="86">
        <f>200000+50000</f>
        <v>250000</v>
      </c>
      <c r="D14" s="87"/>
      <c r="E14" s="87"/>
      <c r="G14" s="94"/>
      <c r="H14" s="76"/>
    </row>
    <row r="15" spans="1:13" s="75" customFormat="1" ht="33" x14ac:dyDescent="0.25">
      <c r="A15" s="88"/>
      <c r="B15" s="90" t="s">
        <v>142</v>
      </c>
      <c r="C15" s="86">
        <v>120000</v>
      </c>
      <c r="D15" s="92"/>
      <c r="E15" s="87"/>
      <c r="H15" s="76"/>
    </row>
    <row r="16" spans="1:13" s="75" customFormat="1" ht="33" x14ac:dyDescent="0.25">
      <c r="A16" s="88"/>
      <c r="B16" s="90" t="s">
        <v>143</v>
      </c>
      <c r="C16" s="86">
        <f>100000+100000</f>
        <v>200000</v>
      </c>
      <c r="D16" s="87"/>
      <c r="E16" s="87"/>
      <c r="H16" s="76"/>
    </row>
    <row r="17" spans="1:8" s="75" customFormat="1" ht="33" x14ac:dyDescent="0.25">
      <c r="A17" s="88"/>
      <c r="B17" s="90" t="s">
        <v>144</v>
      </c>
      <c r="C17" s="86">
        <v>62079</v>
      </c>
      <c r="D17" s="87"/>
      <c r="E17" s="87"/>
      <c r="H17" s="76"/>
    </row>
    <row r="18" spans="1:8" s="75" customFormat="1" x14ac:dyDescent="0.25">
      <c r="A18" s="88"/>
      <c r="B18" s="90" t="s">
        <v>145</v>
      </c>
      <c r="C18" s="86">
        <v>250000</v>
      </c>
      <c r="D18" s="87"/>
      <c r="E18" s="87"/>
      <c r="H18" s="76"/>
    </row>
    <row r="19" spans="1:8" s="75" customFormat="1" ht="33" x14ac:dyDescent="0.25">
      <c r="A19" s="88"/>
      <c r="B19" s="90" t="s">
        <v>146</v>
      </c>
      <c r="C19" s="86">
        <v>50000</v>
      </c>
      <c r="D19" s="87"/>
      <c r="E19" s="87"/>
      <c r="H19" s="76"/>
    </row>
    <row r="20" spans="1:8" s="75" customFormat="1" ht="33" x14ac:dyDescent="0.25">
      <c r="A20" s="88"/>
      <c r="B20" s="90" t="s">
        <v>147</v>
      </c>
      <c r="C20" s="86">
        <v>40000</v>
      </c>
      <c r="D20" s="87"/>
      <c r="E20" s="87"/>
      <c r="H20" s="76"/>
    </row>
    <row r="21" spans="1:8" s="75" customFormat="1" x14ac:dyDescent="0.25">
      <c r="A21" s="88"/>
      <c r="B21" s="90" t="s">
        <v>148</v>
      </c>
      <c r="C21" s="86">
        <v>50000</v>
      </c>
      <c r="D21" s="87"/>
      <c r="E21" s="87"/>
      <c r="H21" s="76"/>
    </row>
    <row r="22" spans="1:8" s="75" customFormat="1" x14ac:dyDescent="0.25">
      <c r="A22" s="88"/>
      <c r="B22" s="95" t="s">
        <v>149</v>
      </c>
      <c r="C22" s="86"/>
      <c r="D22" s="87"/>
      <c r="E22" s="87"/>
      <c r="H22" s="76"/>
    </row>
    <row r="23" spans="1:8" s="75" customFormat="1" ht="33" x14ac:dyDescent="0.25">
      <c r="A23" s="88"/>
      <c r="B23" s="90" t="s">
        <v>150</v>
      </c>
      <c r="C23" s="86">
        <v>500000</v>
      </c>
      <c r="D23" s="87"/>
      <c r="E23" s="87"/>
      <c r="H23" s="76"/>
    </row>
    <row r="24" spans="1:8" s="75" customFormat="1" ht="33" x14ac:dyDescent="0.25">
      <c r="A24" s="88"/>
      <c r="B24" s="90" t="s">
        <v>151</v>
      </c>
      <c r="C24" s="86">
        <f>3809600</f>
        <v>3809600</v>
      </c>
      <c r="D24" s="87"/>
      <c r="E24" s="87"/>
      <c r="F24" s="80"/>
      <c r="G24" s="80"/>
      <c r="H24" s="96"/>
    </row>
    <row r="25" spans="1:8" s="75" customFormat="1" ht="33" x14ac:dyDescent="0.25">
      <c r="A25" s="88"/>
      <c r="B25" s="89" t="s">
        <v>152</v>
      </c>
      <c r="C25" s="86">
        <v>4010000</v>
      </c>
      <c r="D25" s="87"/>
      <c r="E25" s="87"/>
      <c r="H25" s="76"/>
    </row>
    <row r="26" spans="1:8" s="75" customFormat="1" x14ac:dyDescent="0.25">
      <c r="A26" s="81" t="s">
        <v>153</v>
      </c>
      <c r="B26" s="82" t="s">
        <v>154</v>
      </c>
      <c r="C26" s="83">
        <f>+C28+C36+C37</f>
        <v>6279956.1563975001</v>
      </c>
      <c r="D26" s="79"/>
      <c r="E26" s="79"/>
      <c r="F26" s="80"/>
      <c r="G26" s="80"/>
      <c r="H26" s="76"/>
    </row>
    <row r="27" spans="1:8" s="75" customFormat="1" x14ac:dyDescent="0.25">
      <c r="A27" s="84"/>
      <c r="B27" s="85" t="s">
        <v>136</v>
      </c>
      <c r="C27" s="86"/>
      <c r="D27" s="87"/>
      <c r="E27" s="87"/>
      <c r="H27" s="76"/>
    </row>
    <row r="28" spans="1:8" s="75" customFormat="1" x14ac:dyDescent="0.25">
      <c r="A28" s="88"/>
      <c r="B28" s="89" t="s">
        <v>137</v>
      </c>
      <c r="C28" s="86">
        <f>6279956.1563975-C36-C37</f>
        <v>5500182.2563974997</v>
      </c>
      <c r="D28" s="87"/>
      <c r="E28" s="87"/>
      <c r="H28" s="76"/>
    </row>
    <row r="29" spans="1:8" s="75" customFormat="1" x14ac:dyDescent="0.25">
      <c r="A29" s="88"/>
      <c r="B29" s="90" t="s">
        <v>138</v>
      </c>
      <c r="C29" s="86"/>
      <c r="D29" s="87"/>
      <c r="E29" s="87"/>
      <c r="H29" s="76"/>
    </row>
    <row r="30" spans="1:8" s="75" customFormat="1" x14ac:dyDescent="0.25">
      <c r="A30" s="88"/>
      <c r="B30" s="91" t="s">
        <v>139</v>
      </c>
      <c r="C30" s="86">
        <f>+SUM(C32:C35)</f>
        <v>480000</v>
      </c>
      <c r="D30" s="87"/>
      <c r="E30" s="87"/>
      <c r="H30" s="76"/>
    </row>
    <row r="31" spans="1:8" s="75" customFormat="1" x14ac:dyDescent="0.25">
      <c r="A31" s="88"/>
      <c r="B31" s="95" t="s">
        <v>149</v>
      </c>
      <c r="C31" s="86"/>
      <c r="D31" s="87"/>
      <c r="E31" s="87"/>
      <c r="H31" s="76"/>
    </row>
    <row r="32" spans="1:8" s="101" customFormat="1" ht="49.5" x14ac:dyDescent="0.25">
      <c r="A32" s="97"/>
      <c r="B32" s="98" t="s">
        <v>155</v>
      </c>
      <c r="C32" s="99">
        <f>120000+5000</f>
        <v>125000</v>
      </c>
      <c r="D32" s="100"/>
      <c r="E32" s="100"/>
      <c r="H32" s="102"/>
    </row>
    <row r="33" spans="1:8" s="75" customFormat="1" ht="49.5" x14ac:dyDescent="0.25">
      <c r="A33" s="88"/>
      <c r="B33" s="90" t="s">
        <v>156</v>
      </c>
      <c r="C33" s="86">
        <f>250000+50000</f>
        <v>300000</v>
      </c>
      <c r="D33" s="87"/>
      <c r="E33" s="87"/>
      <c r="H33" s="76"/>
    </row>
    <row r="34" spans="1:8" s="75" customFormat="1" ht="33" x14ac:dyDescent="0.25">
      <c r="A34" s="88"/>
      <c r="B34" s="90" t="s">
        <v>157</v>
      </c>
      <c r="C34" s="86">
        <f>100000-50000</f>
        <v>50000</v>
      </c>
      <c r="D34" s="87"/>
      <c r="E34" s="87"/>
      <c r="H34" s="76"/>
    </row>
    <row r="35" spans="1:8" s="75" customFormat="1" ht="49.5" x14ac:dyDescent="0.25">
      <c r="A35" s="88"/>
      <c r="B35" s="90" t="s">
        <v>158</v>
      </c>
      <c r="C35" s="86">
        <v>5000</v>
      </c>
      <c r="D35" s="87"/>
      <c r="E35" s="87"/>
      <c r="H35" s="76"/>
    </row>
    <row r="36" spans="1:8" s="75" customFormat="1" ht="33" x14ac:dyDescent="0.25">
      <c r="A36" s="88"/>
      <c r="B36" s="89" t="s">
        <v>152</v>
      </c>
      <c r="C36" s="86">
        <v>64773.9</v>
      </c>
      <c r="D36" s="87"/>
      <c r="E36" s="87"/>
      <c r="H36" s="76"/>
    </row>
    <row r="37" spans="1:8" s="75" customFormat="1" ht="33" x14ac:dyDescent="0.25">
      <c r="A37" s="103"/>
      <c r="B37" s="104" t="s">
        <v>159</v>
      </c>
      <c r="C37" s="86">
        <v>715000</v>
      </c>
      <c r="D37" s="87"/>
      <c r="E37" s="87"/>
      <c r="H37" s="76"/>
    </row>
    <row r="38" spans="1:8" s="75" customFormat="1" x14ac:dyDescent="0.25">
      <c r="A38" s="105" t="s">
        <v>160</v>
      </c>
      <c r="B38" s="106" t="s">
        <v>161</v>
      </c>
      <c r="C38" s="83">
        <f>+C40+C67+C68</f>
        <v>5093695.7045074496</v>
      </c>
      <c r="D38" s="79"/>
      <c r="E38" s="79"/>
      <c r="F38" s="80"/>
      <c r="G38" s="80"/>
      <c r="H38" s="76"/>
    </row>
    <row r="39" spans="1:8" s="75" customFormat="1" x14ac:dyDescent="0.25">
      <c r="A39" s="84"/>
      <c r="B39" s="85" t="s">
        <v>136</v>
      </c>
      <c r="C39" s="86"/>
      <c r="D39" s="87"/>
      <c r="E39" s="87"/>
      <c r="H39" s="76"/>
    </row>
    <row r="40" spans="1:8" s="75" customFormat="1" x14ac:dyDescent="0.25">
      <c r="A40" s="88"/>
      <c r="B40" s="89" t="s">
        <v>137</v>
      </c>
      <c r="C40" s="86">
        <f>5093695.70450745-C67-C68</f>
        <v>4133589.5045074495</v>
      </c>
      <c r="D40" s="87"/>
      <c r="E40" s="87"/>
      <c r="H40" s="76"/>
    </row>
    <row r="41" spans="1:8" s="75" customFormat="1" x14ac:dyDescent="0.25">
      <c r="A41" s="88"/>
      <c r="B41" s="90" t="s">
        <v>138</v>
      </c>
      <c r="C41" s="86"/>
      <c r="D41" s="87"/>
      <c r="E41" s="87"/>
      <c r="H41" s="76"/>
    </row>
    <row r="42" spans="1:8" s="75" customFormat="1" x14ac:dyDescent="0.25">
      <c r="A42" s="88"/>
      <c r="B42" s="91" t="s">
        <v>139</v>
      </c>
      <c r="C42" s="86">
        <f>+SUM(C43:C66)</f>
        <v>1778556.4952</v>
      </c>
      <c r="D42" s="87"/>
      <c r="E42" s="87"/>
      <c r="H42" s="76"/>
    </row>
    <row r="43" spans="1:8" s="75" customFormat="1" x14ac:dyDescent="0.25">
      <c r="A43" s="88"/>
      <c r="B43" s="90" t="s">
        <v>162</v>
      </c>
      <c r="C43" s="86">
        <v>242000</v>
      </c>
      <c r="D43" s="87"/>
      <c r="E43" s="87"/>
      <c r="H43" s="76"/>
    </row>
    <row r="44" spans="1:8" s="75" customFormat="1" ht="50.25" customHeight="1" x14ac:dyDescent="0.25">
      <c r="A44" s="88"/>
      <c r="B44" s="90" t="s">
        <v>163</v>
      </c>
      <c r="C44" s="86">
        <v>150393</v>
      </c>
      <c r="D44" s="87"/>
      <c r="E44" s="87"/>
      <c r="F44" s="107"/>
      <c r="G44" s="107"/>
      <c r="H44" s="108"/>
    </row>
    <row r="45" spans="1:8" s="75" customFormat="1" ht="49.5" x14ac:dyDescent="0.25">
      <c r="A45" s="88"/>
      <c r="B45" s="90" t="s">
        <v>164</v>
      </c>
      <c r="C45" s="86">
        <v>176000</v>
      </c>
      <c r="D45" s="87"/>
      <c r="E45" s="87"/>
      <c r="F45" s="107"/>
      <c r="G45" s="107"/>
      <c r="H45" s="76"/>
    </row>
    <row r="46" spans="1:8" s="75" customFormat="1" ht="33" x14ac:dyDescent="0.25">
      <c r="A46" s="88"/>
      <c r="B46" s="90" t="s">
        <v>165</v>
      </c>
      <c r="C46" s="86">
        <v>166375</v>
      </c>
      <c r="D46" s="87"/>
      <c r="E46" s="87"/>
      <c r="H46" s="76"/>
    </row>
    <row r="47" spans="1:8" s="75" customFormat="1" ht="33" x14ac:dyDescent="0.25">
      <c r="A47" s="88"/>
      <c r="B47" s="90" t="s">
        <v>166</v>
      </c>
      <c r="C47" s="86">
        <f>85000+50000</f>
        <v>135000</v>
      </c>
      <c r="D47" s="87"/>
      <c r="E47" s="87"/>
      <c r="H47" s="76"/>
    </row>
    <row r="48" spans="1:8" s="75" customFormat="1" x14ac:dyDescent="0.25">
      <c r="A48" s="88"/>
      <c r="B48" s="90" t="s">
        <v>167</v>
      </c>
      <c r="C48" s="86">
        <v>241759.0252</v>
      </c>
      <c r="D48" s="87"/>
      <c r="E48" s="87"/>
      <c r="F48" s="109"/>
      <c r="G48" s="109"/>
      <c r="H48" s="76"/>
    </row>
    <row r="49" spans="1:8" s="75" customFormat="1" ht="33" x14ac:dyDescent="0.25">
      <c r="A49" s="88"/>
      <c r="B49" s="90" t="s">
        <v>168</v>
      </c>
      <c r="C49" s="86">
        <v>96800</v>
      </c>
      <c r="D49" s="87"/>
      <c r="E49" s="87"/>
      <c r="H49" s="76"/>
    </row>
    <row r="50" spans="1:8" s="75" customFormat="1" x14ac:dyDescent="0.25">
      <c r="A50" s="88"/>
      <c r="B50" s="90" t="s">
        <v>169</v>
      </c>
      <c r="C50" s="86">
        <v>69200</v>
      </c>
      <c r="D50" s="87"/>
      <c r="E50" s="87"/>
      <c r="H50" s="76"/>
    </row>
    <row r="51" spans="1:8" s="75" customFormat="1" ht="33" x14ac:dyDescent="0.25">
      <c r="A51" s="88"/>
      <c r="B51" s="90" t="s">
        <v>170</v>
      </c>
      <c r="C51" s="86">
        <v>86043.47</v>
      </c>
      <c r="D51" s="87"/>
      <c r="E51" s="87"/>
      <c r="H51" s="76"/>
    </row>
    <row r="52" spans="1:8" s="75" customFormat="1" x14ac:dyDescent="0.25">
      <c r="A52" s="88"/>
      <c r="B52" s="90" t="s">
        <v>171</v>
      </c>
      <c r="C52" s="86">
        <v>44000</v>
      </c>
      <c r="D52" s="110"/>
      <c r="E52" s="87"/>
      <c r="H52" s="76"/>
    </row>
    <row r="53" spans="1:8" s="75" customFormat="1" ht="33" x14ac:dyDescent="0.25">
      <c r="A53" s="88"/>
      <c r="B53" s="90" t="s">
        <v>172</v>
      </c>
      <c r="C53" s="86">
        <v>27930</v>
      </c>
      <c r="D53" s="87"/>
      <c r="E53" s="87"/>
      <c r="H53" s="76"/>
    </row>
    <row r="54" spans="1:8" s="75" customFormat="1" ht="49.5" x14ac:dyDescent="0.25">
      <c r="A54" s="88"/>
      <c r="B54" s="90" t="s">
        <v>173</v>
      </c>
      <c r="C54" s="86">
        <v>15070</v>
      </c>
      <c r="D54" s="110"/>
      <c r="E54" s="87"/>
      <c r="H54" s="76"/>
    </row>
    <row r="55" spans="1:8" s="75" customFormat="1" ht="33" x14ac:dyDescent="0.25">
      <c r="A55" s="88"/>
      <c r="B55" s="90" t="s">
        <v>174</v>
      </c>
      <c r="C55" s="86">
        <v>38500</v>
      </c>
      <c r="D55" s="87"/>
      <c r="E55" s="87"/>
      <c r="H55" s="76"/>
    </row>
    <row r="56" spans="1:8" s="75" customFormat="1" ht="49.5" x14ac:dyDescent="0.25">
      <c r="A56" s="88"/>
      <c r="B56" s="90" t="s">
        <v>175</v>
      </c>
      <c r="C56" s="86">
        <v>38170</v>
      </c>
      <c r="D56" s="87"/>
      <c r="E56" s="87"/>
      <c r="H56" s="76"/>
    </row>
    <row r="57" spans="1:8" s="75" customFormat="1" x14ac:dyDescent="0.25">
      <c r="A57" s="88"/>
      <c r="B57" s="90" t="s">
        <v>176</v>
      </c>
      <c r="C57" s="86">
        <f>96400-46400</f>
        <v>50000</v>
      </c>
      <c r="D57" s="87"/>
      <c r="E57" s="87"/>
      <c r="H57" s="76"/>
    </row>
    <row r="58" spans="1:8" s="75" customFormat="1" ht="33" x14ac:dyDescent="0.25">
      <c r="A58" s="88"/>
      <c r="B58" s="90" t="s">
        <v>177</v>
      </c>
      <c r="C58" s="86">
        <v>27940</v>
      </c>
      <c r="D58" s="87"/>
      <c r="E58" s="87"/>
      <c r="H58" s="76"/>
    </row>
    <row r="59" spans="1:8" s="75" customFormat="1" ht="49.5" x14ac:dyDescent="0.25">
      <c r="A59" s="88"/>
      <c r="B59" s="90" t="s">
        <v>178</v>
      </c>
      <c r="C59" s="86">
        <f>44133-10000</f>
        <v>34133</v>
      </c>
      <c r="D59" s="87"/>
      <c r="E59" s="87"/>
      <c r="H59" s="76"/>
    </row>
    <row r="60" spans="1:8" s="75" customFormat="1" ht="33" x14ac:dyDescent="0.25">
      <c r="A60" s="88"/>
      <c r="B60" s="90" t="s">
        <v>179</v>
      </c>
      <c r="C60" s="86">
        <v>33572</v>
      </c>
      <c r="D60" s="79"/>
      <c r="E60" s="92"/>
      <c r="H60" s="76"/>
    </row>
    <row r="61" spans="1:8" s="75" customFormat="1" ht="33" x14ac:dyDescent="0.25">
      <c r="A61" s="88"/>
      <c r="B61" s="90" t="s">
        <v>180</v>
      </c>
      <c r="C61" s="86">
        <v>24618</v>
      </c>
      <c r="D61" s="87"/>
      <c r="E61" s="87"/>
      <c r="H61" s="111"/>
    </row>
    <row r="62" spans="1:8" s="75" customFormat="1" ht="49.5" x14ac:dyDescent="0.25">
      <c r="A62" s="88"/>
      <c r="B62" s="90" t="s">
        <v>181</v>
      </c>
      <c r="C62" s="86">
        <v>21373</v>
      </c>
      <c r="D62" s="87"/>
      <c r="E62" s="87"/>
      <c r="H62" s="111"/>
    </row>
    <row r="63" spans="1:8" s="75" customFormat="1" x14ac:dyDescent="0.25">
      <c r="A63" s="88"/>
      <c r="B63" s="90" t="s">
        <v>182</v>
      </c>
      <c r="C63" s="86">
        <v>20000</v>
      </c>
      <c r="D63" s="87"/>
      <c r="E63" s="87"/>
      <c r="H63" s="111"/>
    </row>
    <row r="64" spans="1:8" s="75" customFormat="1" ht="49.5" x14ac:dyDescent="0.25">
      <c r="A64" s="88"/>
      <c r="B64" s="90" t="s">
        <v>183</v>
      </c>
      <c r="C64" s="86">
        <v>9680</v>
      </c>
      <c r="D64" s="112"/>
      <c r="E64" s="87"/>
      <c r="H64" s="76"/>
    </row>
    <row r="65" spans="1:8" s="75" customFormat="1" x14ac:dyDescent="0.25">
      <c r="A65" s="88"/>
      <c r="B65" s="95" t="s">
        <v>149</v>
      </c>
      <c r="C65" s="86"/>
      <c r="D65" s="87"/>
      <c r="E65" s="87"/>
      <c r="H65" s="76"/>
    </row>
    <row r="66" spans="1:8" s="75" customFormat="1" ht="49.5" x14ac:dyDescent="0.25">
      <c r="A66" s="88"/>
      <c r="B66" s="90" t="s">
        <v>184</v>
      </c>
      <c r="C66" s="86">
        <v>30000</v>
      </c>
      <c r="D66" s="87"/>
      <c r="E66" s="87"/>
      <c r="H66" s="76"/>
    </row>
    <row r="67" spans="1:8" s="75" customFormat="1" ht="33" x14ac:dyDescent="0.25">
      <c r="A67" s="88"/>
      <c r="B67" s="89" t="s">
        <v>152</v>
      </c>
      <c r="C67" s="86">
        <v>360106.2</v>
      </c>
      <c r="D67" s="87"/>
      <c r="E67" s="87"/>
      <c r="H67" s="76"/>
    </row>
    <row r="68" spans="1:8" s="116" customFormat="1" x14ac:dyDescent="0.25">
      <c r="A68" s="113"/>
      <c r="B68" s="114" t="s">
        <v>185</v>
      </c>
      <c r="C68" s="86">
        <v>600000</v>
      </c>
      <c r="D68" s="115"/>
      <c r="E68" s="115"/>
      <c r="H68" s="117"/>
    </row>
    <row r="69" spans="1:8" s="75" customFormat="1" x14ac:dyDescent="0.25">
      <c r="A69" s="88"/>
      <c r="B69" s="118" t="s">
        <v>186</v>
      </c>
      <c r="C69" s="86"/>
      <c r="D69" s="79"/>
      <c r="E69" s="79"/>
      <c r="H69" s="76"/>
    </row>
    <row r="70" spans="1:8" ht="49.5" x14ac:dyDescent="0.25">
      <c r="A70" s="88"/>
      <c r="B70" s="119" t="s">
        <v>187</v>
      </c>
      <c r="C70" s="86">
        <f>250000-50000</f>
        <v>200000</v>
      </c>
      <c r="D70" s="120"/>
      <c r="E70" s="79"/>
      <c r="F70" s="121"/>
      <c r="G70" s="121"/>
    </row>
    <row r="71" spans="1:8" ht="33" x14ac:dyDescent="0.25">
      <c r="A71" s="88"/>
      <c r="B71" s="119" t="s">
        <v>188</v>
      </c>
      <c r="C71" s="86">
        <v>50000</v>
      </c>
      <c r="D71" s="120"/>
      <c r="E71" s="79"/>
    </row>
    <row r="72" spans="1:8" ht="66" x14ac:dyDescent="0.25">
      <c r="A72" s="88"/>
      <c r="B72" s="119" t="s">
        <v>189</v>
      </c>
      <c r="C72" s="86">
        <v>50000</v>
      </c>
      <c r="D72" s="120"/>
      <c r="E72" s="79"/>
    </row>
    <row r="73" spans="1:8" ht="33" x14ac:dyDescent="0.25">
      <c r="A73" s="88"/>
      <c r="B73" s="119" t="s">
        <v>190</v>
      </c>
      <c r="C73" s="86">
        <f>+C68-C70-C71-C72</f>
        <v>300000</v>
      </c>
      <c r="D73" s="120"/>
      <c r="E73" s="79"/>
    </row>
    <row r="74" spans="1:8" s="75" customFormat="1" x14ac:dyDescent="0.25">
      <c r="A74" s="81" t="s">
        <v>191</v>
      </c>
      <c r="B74" s="82" t="s">
        <v>192</v>
      </c>
      <c r="C74" s="83">
        <f>+SUM(C76,C88)</f>
        <v>1171734.5482975</v>
      </c>
      <c r="D74" s="79"/>
      <c r="E74" s="79"/>
      <c r="F74" s="80"/>
      <c r="G74" s="80"/>
      <c r="H74" s="76"/>
    </row>
    <row r="75" spans="1:8" s="75" customFormat="1" x14ac:dyDescent="0.25">
      <c r="A75" s="84"/>
      <c r="B75" s="85" t="s">
        <v>136</v>
      </c>
      <c r="C75" s="86"/>
      <c r="D75" s="87"/>
      <c r="E75" s="87"/>
      <c r="H75" s="76"/>
    </row>
    <row r="76" spans="1:8" s="75" customFormat="1" x14ac:dyDescent="0.25">
      <c r="A76" s="88"/>
      <c r="B76" s="89" t="s">
        <v>137</v>
      </c>
      <c r="C76" s="86">
        <f>1171734.5482975-C88</f>
        <v>1051734.5482975</v>
      </c>
      <c r="D76" s="87"/>
      <c r="E76" s="87"/>
      <c r="H76" s="76"/>
    </row>
    <row r="77" spans="1:8" s="75" customFormat="1" x14ac:dyDescent="0.25">
      <c r="A77" s="88"/>
      <c r="B77" s="90" t="s">
        <v>138</v>
      </c>
      <c r="C77" s="86"/>
      <c r="D77" s="87"/>
      <c r="E77" s="87"/>
      <c r="H77" s="76"/>
    </row>
    <row r="78" spans="1:8" s="75" customFormat="1" x14ac:dyDescent="0.25">
      <c r="A78" s="88"/>
      <c r="B78" s="91" t="s">
        <v>139</v>
      </c>
      <c r="C78" s="86">
        <f>+SUM(C79:C87)</f>
        <v>252000</v>
      </c>
      <c r="D78" s="87"/>
      <c r="E78" s="87"/>
      <c r="H78" s="76"/>
    </row>
    <row r="79" spans="1:8" s="75" customFormat="1" ht="33" x14ac:dyDescent="0.25">
      <c r="A79" s="88"/>
      <c r="B79" s="119" t="s">
        <v>193</v>
      </c>
      <c r="C79" s="122">
        <v>110000</v>
      </c>
      <c r="D79" s="87"/>
      <c r="E79" s="87"/>
      <c r="H79" s="76"/>
    </row>
    <row r="80" spans="1:8" s="116" customFormat="1" x14ac:dyDescent="0.25">
      <c r="A80" s="88"/>
      <c r="B80" s="90" t="s">
        <v>194</v>
      </c>
      <c r="C80" s="122">
        <v>50000</v>
      </c>
      <c r="D80" s="123"/>
      <c r="E80" s="123"/>
      <c r="H80" s="117"/>
    </row>
    <row r="81" spans="1:8" s="75" customFormat="1" ht="49.5" x14ac:dyDescent="0.25">
      <c r="A81" s="88"/>
      <c r="B81" s="90" t="s">
        <v>195</v>
      </c>
      <c r="C81" s="86">
        <v>12000</v>
      </c>
      <c r="D81" s="87"/>
      <c r="E81" s="87"/>
      <c r="H81" s="76"/>
    </row>
    <row r="82" spans="1:8" s="75" customFormat="1" x14ac:dyDescent="0.25">
      <c r="A82" s="88"/>
      <c r="B82" s="119" t="s">
        <v>196</v>
      </c>
      <c r="C82" s="122">
        <v>50000</v>
      </c>
      <c r="D82" s="87"/>
      <c r="E82" s="87"/>
      <c r="H82" s="76"/>
    </row>
    <row r="83" spans="1:8" s="75" customFormat="1" ht="33" x14ac:dyDescent="0.25">
      <c r="A83" s="88"/>
      <c r="B83" s="90" t="s">
        <v>197</v>
      </c>
      <c r="C83" s="86">
        <v>10000</v>
      </c>
      <c r="D83" s="87"/>
      <c r="E83" s="87"/>
      <c r="H83" s="76"/>
    </row>
    <row r="84" spans="1:8" s="75" customFormat="1" ht="33" x14ac:dyDescent="0.25">
      <c r="A84" s="88"/>
      <c r="B84" s="90" t="s">
        <v>198</v>
      </c>
      <c r="C84" s="86">
        <v>10000</v>
      </c>
      <c r="D84" s="87"/>
      <c r="E84" s="87"/>
      <c r="H84" s="76"/>
    </row>
    <row r="85" spans="1:8" s="75" customFormat="1" ht="33" x14ac:dyDescent="0.25">
      <c r="A85" s="88"/>
      <c r="B85" s="90" t="s">
        <v>199</v>
      </c>
      <c r="C85" s="86">
        <v>5000</v>
      </c>
      <c r="D85" s="87"/>
      <c r="E85" s="87"/>
      <c r="H85" s="76"/>
    </row>
    <row r="86" spans="1:8" s="75" customFormat="1" x14ac:dyDescent="0.25">
      <c r="A86" s="88"/>
      <c r="B86" s="95" t="s">
        <v>149</v>
      </c>
      <c r="C86" s="86"/>
      <c r="D86" s="87"/>
      <c r="E86" s="87"/>
      <c r="H86" s="76"/>
    </row>
    <row r="87" spans="1:8" s="75" customFormat="1" ht="33" x14ac:dyDescent="0.25">
      <c r="A87" s="88"/>
      <c r="B87" s="90" t="s">
        <v>200</v>
      </c>
      <c r="C87" s="86">
        <v>5000</v>
      </c>
      <c r="D87" s="87"/>
      <c r="E87" s="87"/>
      <c r="H87" s="76"/>
    </row>
    <row r="88" spans="1:8" s="75" customFormat="1" ht="33" x14ac:dyDescent="0.25">
      <c r="A88" s="88"/>
      <c r="B88" s="89" t="s">
        <v>152</v>
      </c>
      <c r="C88" s="86">
        <v>120000</v>
      </c>
      <c r="D88" s="87"/>
      <c r="E88" s="87"/>
      <c r="F88" s="80"/>
      <c r="G88" s="80"/>
      <c r="H88" s="76"/>
    </row>
    <row r="89" spans="1:8" s="126" customFormat="1" x14ac:dyDescent="0.25">
      <c r="A89" s="81" t="s">
        <v>201</v>
      </c>
      <c r="B89" s="82" t="s">
        <v>202</v>
      </c>
      <c r="C89" s="83">
        <f>+C91+C102</f>
        <v>1134756.65411</v>
      </c>
      <c r="D89" s="79"/>
      <c r="E89" s="79"/>
      <c r="F89" s="124"/>
      <c r="G89" s="124"/>
      <c r="H89" s="125"/>
    </row>
    <row r="90" spans="1:8" s="126" customFormat="1" x14ac:dyDescent="0.25">
      <c r="A90" s="84"/>
      <c r="B90" s="85" t="s">
        <v>136</v>
      </c>
      <c r="C90" s="86"/>
      <c r="D90" s="87"/>
      <c r="E90" s="87"/>
      <c r="H90" s="125"/>
    </row>
    <row r="91" spans="1:8" s="126" customFormat="1" x14ac:dyDescent="0.25">
      <c r="A91" s="88"/>
      <c r="B91" s="89" t="s">
        <v>137</v>
      </c>
      <c r="C91" s="86">
        <f>1134756.65411-C102</f>
        <v>984756.65411</v>
      </c>
      <c r="D91" s="87"/>
      <c r="E91" s="87"/>
      <c r="H91" s="125"/>
    </row>
    <row r="92" spans="1:8" s="126" customFormat="1" x14ac:dyDescent="0.25">
      <c r="A92" s="88"/>
      <c r="B92" s="90" t="s">
        <v>138</v>
      </c>
      <c r="C92" s="86"/>
      <c r="D92" s="87"/>
      <c r="E92" s="87"/>
      <c r="H92" s="125"/>
    </row>
    <row r="93" spans="1:8" s="126" customFormat="1" x14ac:dyDescent="0.25">
      <c r="A93" s="88"/>
      <c r="B93" s="91" t="s">
        <v>139</v>
      </c>
      <c r="C93" s="86">
        <f>+SUM(C94:C101)</f>
        <v>659100</v>
      </c>
      <c r="D93" s="87"/>
      <c r="E93" s="87"/>
      <c r="H93" s="125"/>
    </row>
    <row r="94" spans="1:8" s="126" customFormat="1" x14ac:dyDescent="0.25">
      <c r="A94" s="88"/>
      <c r="B94" s="90" t="s">
        <v>203</v>
      </c>
      <c r="C94" s="86">
        <f>150000+20000+20000</f>
        <v>190000</v>
      </c>
      <c r="D94" s="87"/>
      <c r="E94" s="87"/>
      <c r="H94" s="125"/>
    </row>
    <row r="95" spans="1:8" s="126" customFormat="1" x14ac:dyDescent="0.25">
      <c r="A95" s="88"/>
      <c r="B95" s="90" t="s">
        <v>204</v>
      </c>
      <c r="C95" s="86">
        <v>50000</v>
      </c>
      <c r="D95" s="87"/>
      <c r="E95" s="87"/>
      <c r="H95" s="125"/>
    </row>
    <row r="96" spans="1:8" s="126" customFormat="1" ht="33" x14ac:dyDescent="0.25">
      <c r="A96" s="88"/>
      <c r="B96" s="90" t="s">
        <v>205</v>
      </c>
      <c r="C96" s="86">
        <v>250000</v>
      </c>
      <c r="D96" s="87"/>
      <c r="E96" s="87"/>
      <c r="F96" s="87"/>
      <c r="G96" s="87"/>
      <c r="H96" s="125"/>
    </row>
    <row r="97" spans="1:8" s="126" customFormat="1" ht="49.5" x14ac:dyDescent="0.25">
      <c r="A97" s="88"/>
      <c r="B97" s="90" t="s">
        <v>206</v>
      </c>
      <c r="C97" s="86">
        <f>104000-20000</f>
        <v>84000</v>
      </c>
      <c r="D97" s="87"/>
      <c r="E97" s="87"/>
      <c r="H97" s="125"/>
    </row>
    <row r="98" spans="1:8" s="126" customFormat="1" ht="33" x14ac:dyDescent="0.25">
      <c r="A98" s="88"/>
      <c r="B98" s="90" t="s">
        <v>207</v>
      </c>
      <c r="C98" s="86">
        <v>10100</v>
      </c>
      <c r="D98" s="87"/>
      <c r="E98" s="87"/>
      <c r="H98" s="125"/>
    </row>
    <row r="99" spans="1:8" s="126" customFormat="1" ht="33" x14ac:dyDescent="0.25">
      <c r="A99" s="88"/>
      <c r="B99" s="90" t="s">
        <v>208</v>
      </c>
      <c r="C99" s="86">
        <v>30000</v>
      </c>
      <c r="D99" s="87"/>
      <c r="E99" s="87"/>
      <c r="H99" s="125"/>
    </row>
    <row r="100" spans="1:8" s="126" customFormat="1" ht="82.5" x14ac:dyDescent="0.25">
      <c r="A100" s="88"/>
      <c r="B100" s="90" t="s">
        <v>209</v>
      </c>
      <c r="C100" s="86">
        <f>10000+5000+5000</f>
        <v>20000</v>
      </c>
      <c r="D100" s="87"/>
      <c r="E100" s="87"/>
      <c r="H100" s="125"/>
    </row>
    <row r="101" spans="1:8" s="126" customFormat="1" ht="33" x14ac:dyDescent="0.25">
      <c r="A101" s="88"/>
      <c r="B101" s="90" t="s">
        <v>210</v>
      </c>
      <c r="C101" s="86">
        <v>25000</v>
      </c>
      <c r="D101" s="87"/>
      <c r="E101" s="87"/>
      <c r="H101" s="125"/>
    </row>
    <row r="102" spans="1:8" s="126" customFormat="1" ht="33" x14ac:dyDescent="0.25">
      <c r="A102" s="88"/>
      <c r="B102" s="89" t="s">
        <v>152</v>
      </c>
      <c r="C102" s="86">
        <v>150000</v>
      </c>
      <c r="D102" s="87"/>
      <c r="E102" s="87"/>
      <c r="H102" s="125"/>
    </row>
    <row r="103" spans="1:8" s="75" customFormat="1" ht="33" x14ac:dyDescent="0.25">
      <c r="A103" s="81" t="s">
        <v>211</v>
      </c>
      <c r="B103" s="82" t="s">
        <v>212</v>
      </c>
      <c r="C103" s="83">
        <f>+C105+C114+C118</f>
        <v>1992004.6428400001</v>
      </c>
      <c r="D103" s="79"/>
      <c r="E103" s="79"/>
      <c r="F103" s="80"/>
      <c r="G103" s="80"/>
      <c r="H103" s="76"/>
    </row>
    <row r="104" spans="1:8" s="75" customFormat="1" x14ac:dyDescent="0.25">
      <c r="A104" s="84"/>
      <c r="B104" s="85" t="s">
        <v>136</v>
      </c>
      <c r="C104" s="86"/>
      <c r="D104" s="79"/>
      <c r="E104" s="87"/>
      <c r="H104" s="76"/>
    </row>
    <row r="105" spans="1:8" s="75" customFormat="1" x14ac:dyDescent="0.25">
      <c r="A105" s="88"/>
      <c r="B105" s="89" t="s">
        <v>137</v>
      </c>
      <c r="C105" s="86">
        <f>1992004.64284-C114-C118</f>
        <v>242004.6428400001</v>
      </c>
      <c r="D105" s="87"/>
      <c r="E105" s="87"/>
      <c r="H105" s="76"/>
    </row>
    <row r="106" spans="1:8" s="75" customFormat="1" x14ac:dyDescent="0.25">
      <c r="A106" s="88"/>
      <c r="B106" s="90" t="s">
        <v>138</v>
      </c>
      <c r="C106" s="86"/>
      <c r="D106" s="87"/>
      <c r="E106" s="87"/>
      <c r="H106" s="76"/>
    </row>
    <row r="107" spans="1:8" s="75" customFormat="1" x14ac:dyDescent="0.25">
      <c r="A107" s="88"/>
      <c r="B107" s="91" t="s">
        <v>139</v>
      </c>
      <c r="C107" s="127">
        <f>+SUM(C108:C113)</f>
        <v>205208</v>
      </c>
      <c r="D107" s="87"/>
      <c r="E107" s="87"/>
      <c r="H107" s="76"/>
    </row>
    <row r="108" spans="1:8" s="75" customFormat="1" x14ac:dyDescent="0.25">
      <c r="A108" s="88"/>
      <c r="B108" s="90" t="s">
        <v>213</v>
      </c>
      <c r="C108" s="86">
        <v>50208</v>
      </c>
      <c r="D108" s="87"/>
      <c r="E108" s="87"/>
      <c r="H108" s="76"/>
    </row>
    <row r="109" spans="1:8" s="75" customFormat="1" x14ac:dyDescent="0.25">
      <c r="A109" s="88"/>
      <c r="B109" s="95" t="s">
        <v>149</v>
      </c>
      <c r="C109" s="86"/>
      <c r="D109" s="87"/>
      <c r="E109" s="87"/>
      <c r="H109" s="76"/>
    </row>
    <row r="110" spans="1:8" s="75" customFormat="1" ht="33" x14ac:dyDescent="0.25">
      <c r="A110" s="88"/>
      <c r="B110" s="90" t="s">
        <v>214</v>
      </c>
      <c r="C110" s="86">
        <v>50000</v>
      </c>
      <c r="D110" s="87"/>
      <c r="E110" s="87"/>
      <c r="H110" s="76"/>
    </row>
    <row r="111" spans="1:8" s="75" customFormat="1" ht="33" x14ac:dyDescent="0.25">
      <c r="A111" s="88"/>
      <c r="B111" s="90" t="s">
        <v>215</v>
      </c>
      <c r="C111" s="86">
        <v>50000</v>
      </c>
      <c r="D111" s="87"/>
      <c r="E111" s="87"/>
      <c r="H111" s="76"/>
    </row>
    <row r="112" spans="1:8" s="75" customFormat="1" ht="33" x14ac:dyDescent="0.25">
      <c r="A112" s="88"/>
      <c r="B112" s="90" t="s">
        <v>216</v>
      </c>
      <c r="C112" s="86">
        <v>25000</v>
      </c>
      <c r="D112" s="87"/>
      <c r="E112" s="87"/>
      <c r="H112" s="76"/>
    </row>
    <row r="113" spans="1:8" s="75" customFormat="1" ht="33" x14ac:dyDescent="0.25">
      <c r="A113" s="88"/>
      <c r="B113" s="90" t="s">
        <v>217</v>
      </c>
      <c r="C113" s="86">
        <v>30000</v>
      </c>
      <c r="D113" s="87"/>
      <c r="E113" s="87"/>
      <c r="H113" s="76"/>
    </row>
    <row r="114" spans="1:8" s="75" customFormat="1" ht="33" x14ac:dyDescent="0.25">
      <c r="A114" s="88"/>
      <c r="B114" s="89" t="s">
        <v>152</v>
      </c>
      <c r="C114" s="86">
        <f>+C116+C117</f>
        <v>600000</v>
      </c>
      <c r="D114" s="87"/>
      <c r="E114" s="87"/>
      <c r="H114" s="76"/>
    </row>
    <row r="115" spans="1:8" s="75" customFormat="1" x14ac:dyDescent="0.25">
      <c r="A115" s="88"/>
      <c r="B115" s="95" t="s">
        <v>138</v>
      </c>
      <c r="C115" s="86"/>
      <c r="D115" s="87"/>
      <c r="E115" s="87"/>
      <c r="H115" s="76"/>
    </row>
    <row r="116" spans="1:8" s="75" customFormat="1" ht="33" x14ac:dyDescent="0.25">
      <c r="A116" s="88"/>
      <c r="B116" s="90" t="s">
        <v>218</v>
      </c>
      <c r="C116" s="86">
        <v>500000</v>
      </c>
      <c r="D116" s="87"/>
      <c r="E116" s="87"/>
      <c r="H116" s="76"/>
    </row>
    <row r="117" spans="1:8" s="75" customFormat="1" ht="33" x14ac:dyDescent="0.25">
      <c r="A117" s="88"/>
      <c r="B117" s="90" t="s">
        <v>219</v>
      </c>
      <c r="C117" s="86">
        <f>200000-100000</f>
        <v>100000</v>
      </c>
      <c r="D117" s="87"/>
      <c r="E117" s="87"/>
      <c r="H117" s="76"/>
    </row>
    <row r="118" spans="1:8" s="75" customFormat="1" ht="33" x14ac:dyDescent="0.25">
      <c r="A118" s="88"/>
      <c r="B118" s="89" t="s">
        <v>220</v>
      </c>
      <c r="C118" s="86">
        <v>1150000</v>
      </c>
      <c r="D118" s="87"/>
      <c r="E118" s="87"/>
      <c r="H118" s="76"/>
    </row>
    <row r="119" spans="1:8" s="75" customFormat="1" x14ac:dyDescent="0.25">
      <c r="A119" s="128" t="s">
        <v>221</v>
      </c>
      <c r="B119" s="129" t="s">
        <v>222</v>
      </c>
      <c r="C119" s="130">
        <f>+C121+C141+C142</f>
        <v>1793856.4545509999</v>
      </c>
      <c r="D119" s="79"/>
      <c r="E119" s="79"/>
      <c r="F119" s="80"/>
      <c r="G119" s="80"/>
      <c r="H119" s="76"/>
    </row>
    <row r="120" spans="1:8" s="75" customFormat="1" x14ac:dyDescent="0.25">
      <c r="A120" s="84"/>
      <c r="B120" s="85" t="s">
        <v>136</v>
      </c>
      <c r="C120" s="86"/>
      <c r="D120" s="87"/>
      <c r="E120" s="87"/>
      <c r="H120" s="76"/>
    </row>
    <row r="121" spans="1:8" s="75" customFormat="1" x14ac:dyDescent="0.25">
      <c r="A121" s="88"/>
      <c r="B121" s="89" t="s">
        <v>137</v>
      </c>
      <c r="C121" s="86">
        <f>1793856.454551-C141-C142</f>
        <v>1643856.4545509999</v>
      </c>
      <c r="D121" s="87"/>
      <c r="E121" s="87"/>
      <c r="H121" s="76"/>
    </row>
    <row r="122" spans="1:8" s="75" customFormat="1" x14ac:dyDescent="0.25">
      <c r="A122" s="88"/>
      <c r="B122" s="90" t="s">
        <v>138</v>
      </c>
      <c r="C122" s="127"/>
      <c r="D122" s="87"/>
      <c r="E122" s="87"/>
      <c r="H122" s="76"/>
    </row>
    <row r="123" spans="1:8" s="75" customFormat="1" ht="22.5" x14ac:dyDescent="0.25">
      <c r="A123" s="88"/>
      <c r="B123" s="91" t="s">
        <v>139</v>
      </c>
      <c r="C123" s="127">
        <f>+SUM(C124:C140)</f>
        <v>939720</v>
      </c>
      <c r="D123" s="87"/>
      <c r="E123" s="87"/>
      <c r="H123" s="131"/>
    </row>
    <row r="124" spans="1:8" s="75" customFormat="1" ht="33" x14ac:dyDescent="0.25">
      <c r="A124" s="88"/>
      <c r="B124" s="90" t="s">
        <v>223</v>
      </c>
      <c r="C124" s="86">
        <f>100000+20000</f>
        <v>120000</v>
      </c>
      <c r="D124" s="87"/>
      <c r="E124" s="87"/>
      <c r="F124" s="87"/>
      <c r="G124" s="80"/>
      <c r="H124" s="131"/>
    </row>
    <row r="125" spans="1:8" s="75" customFormat="1" ht="49.5" x14ac:dyDescent="0.25">
      <c r="A125" s="103"/>
      <c r="B125" s="119" t="s">
        <v>224</v>
      </c>
      <c r="C125" s="86">
        <f>170000</f>
        <v>170000</v>
      </c>
      <c r="D125" s="87"/>
      <c r="E125" s="87"/>
      <c r="F125" s="132"/>
      <c r="H125" s="131"/>
    </row>
    <row r="126" spans="1:8" s="75" customFormat="1" ht="66" x14ac:dyDescent="0.25">
      <c r="A126" s="103"/>
      <c r="B126" s="119" t="s">
        <v>225</v>
      </c>
      <c r="C126" s="86">
        <v>125000</v>
      </c>
      <c r="D126" s="87"/>
      <c r="E126" s="87"/>
      <c r="F126" s="80"/>
      <c r="H126" s="131"/>
    </row>
    <row r="127" spans="1:8" s="75" customFormat="1" ht="99" x14ac:dyDescent="0.25">
      <c r="A127" s="103"/>
      <c r="B127" s="119" t="s">
        <v>226</v>
      </c>
      <c r="C127" s="86">
        <f>85000+10000</f>
        <v>95000</v>
      </c>
      <c r="D127" s="92"/>
      <c r="E127" s="87"/>
      <c r="F127" s="92"/>
      <c r="G127" s="92"/>
      <c r="H127" s="133"/>
    </row>
    <row r="128" spans="1:8" s="75" customFormat="1" x14ac:dyDescent="0.25">
      <c r="A128" s="103"/>
      <c r="B128" s="90" t="s">
        <v>227</v>
      </c>
      <c r="C128" s="86">
        <v>160000</v>
      </c>
      <c r="D128" s="87"/>
      <c r="E128" s="87"/>
      <c r="H128" s="76"/>
    </row>
    <row r="129" spans="1:8" s="75" customFormat="1" ht="66" x14ac:dyDescent="0.25">
      <c r="A129" s="103"/>
      <c r="B129" s="90" t="s">
        <v>228</v>
      </c>
      <c r="C129" s="86">
        <f>50000+5000</f>
        <v>55000</v>
      </c>
      <c r="D129" s="87"/>
      <c r="E129" s="79"/>
      <c r="H129" s="76"/>
    </row>
    <row r="130" spans="1:8" s="75" customFormat="1" ht="33" x14ac:dyDescent="0.25">
      <c r="A130" s="103"/>
      <c r="B130" s="90" t="s">
        <v>229</v>
      </c>
      <c r="C130" s="86">
        <v>31000</v>
      </c>
      <c r="D130" s="87"/>
      <c r="E130" s="87"/>
      <c r="H130" s="76"/>
    </row>
    <row r="131" spans="1:8" s="75" customFormat="1" ht="33" x14ac:dyDescent="0.25">
      <c r="A131" s="103"/>
      <c r="B131" s="90" t="s">
        <v>230</v>
      </c>
      <c r="C131" s="86">
        <v>14000</v>
      </c>
      <c r="D131" s="87"/>
      <c r="E131" s="87"/>
      <c r="H131" s="76"/>
    </row>
    <row r="132" spans="1:8" s="75" customFormat="1" x14ac:dyDescent="0.25">
      <c r="A132" s="103"/>
      <c r="B132" s="90" t="s">
        <v>231</v>
      </c>
      <c r="C132" s="86">
        <f>11000+5000</f>
        <v>16000</v>
      </c>
      <c r="D132" s="87"/>
      <c r="E132" s="87"/>
      <c r="H132" s="76"/>
    </row>
    <row r="133" spans="1:8" s="75" customFormat="1" ht="33" x14ac:dyDescent="0.25">
      <c r="A133" s="103"/>
      <c r="B133" s="90" t="s">
        <v>232</v>
      </c>
      <c r="C133" s="86">
        <v>10700</v>
      </c>
      <c r="D133" s="87"/>
      <c r="E133" s="87"/>
      <c r="H133" s="76"/>
    </row>
    <row r="134" spans="1:8" s="75" customFormat="1" ht="49.5" x14ac:dyDescent="0.25">
      <c r="A134" s="103"/>
      <c r="B134" s="90" t="s">
        <v>233</v>
      </c>
      <c r="C134" s="86">
        <v>5000</v>
      </c>
      <c r="D134" s="87"/>
      <c r="E134" s="87"/>
      <c r="H134" s="76"/>
    </row>
    <row r="135" spans="1:8" s="75" customFormat="1" ht="49.5" x14ac:dyDescent="0.25">
      <c r="A135" s="103"/>
      <c r="B135" s="90" t="s">
        <v>234</v>
      </c>
      <c r="C135" s="86">
        <v>5000</v>
      </c>
      <c r="D135" s="87"/>
      <c r="E135" s="87"/>
      <c r="H135" s="76"/>
    </row>
    <row r="136" spans="1:8" s="75" customFormat="1" ht="49.5" x14ac:dyDescent="0.25">
      <c r="A136" s="103"/>
      <c r="B136" s="90" t="s">
        <v>235</v>
      </c>
      <c r="C136" s="86">
        <v>14220</v>
      </c>
      <c r="D136" s="87"/>
      <c r="E136" s="87"/>
      <c r="H136" s="76"/>
    </row>
    <row r="137" spans="1:8" s="75" customFormat="1" ht="49.5" x14ac:dyDescent="0.25">
      <c r="A137" s="103"/>
      <c r="B137" s="90" t="s">
        <v>236</v>
      </c>
      <c r="C137" s="86">
        <f>30000+10000</f>
        <v>40000</v>
      </c>
      <c r="D137" s="87"/>
      <c r="E137" s="87"/>
      <c r="G137" s="92"/>
      <c r="H137" s="76"/>
    </row>
    <row r="138" spans="1:8" s="75" customFormat="1" ht="33" x14ac:dyDescent="0.25">
      <c r="A138" s="103"/>
      <c r="B138" s="90" t="s">
        <v>237</v>
      </c>
      <c r="C138" s="86">
        <f>37800+20000</f>
        <v>57800</v>
      </c>
      <c r="D138" s="87"/>
      <c r="E138" s="87"/>
      <c r="H138" s="76"/>
    </row>
    <row r="139" spans="1:8" s="75" customFormat="1" ht="49.5" x14ac:dyDescent="0.25">
      <c r="A139" s="103"/>
      <c r="B139" s="119" t="s">
        <v>238</v>
      </c>
      <c r="C139" s="86">
        <v>11000</v>
      </c>
      <c r="D139" s="87"/>
      <c r="E139" s="87"/>
      <c r="H139" s="76"/>
    </row>
    <row r="140" spans="1:8" s="75" customFormat="1" ht="33" x14ac:dyDescent="0.25">
      <c r="A140" s="103"/>
      <c r="B140" s="119" t="s">
        <v>239</v>
      </c>
      <c r="C140" s="86">
        <v>10000</v>
      </c>
      <c r="D140" s="87"/>
      <c r="E140" s="87"/>
      <c r="H140" s="76"/>
    </row>
    <row r="141" spans="1:8" s="75" customFormat="1" ht="33" x14ac:dyDescent="0.25">
      <c r="A141" s="103"/>
      <c r="B141" s="104" t="s">
        <v>152</v>
      </c>
      <c r="C141" s="86"/>
      <c r="D141" s="87"/>
      <c r="E141" s="87"/>
      <c r="H141" s="76"/>
    </row>
    <row r="142" spans="1:8" s="75" customFormat="1" ht="33" x14ac:dyDescent="0.25">
      <c r="A142" s="88"/>
      <c r="B142" s="89" t="s">
        <v>240</v>
      </c>
      <c r="C142" s="86">
        <v>150000</v>
      </c>
      <c r="D142" s="87"/>
      <c r="E142" s="87"/>
      <c r="H142" s="76"/>
    </row>
    <row r="143" spans="1:8" s="75" customFormat="1" x14ac:dyDescent="0.25">
      <c r="A143" s="81" t="s">
        <v>241</v>
      </c>
      <c r="B143" s="82" t="s">
        <v>242</v>
      </c>
      <c r="C143" s="83">
        <f>+C145+C161</f>
        <v>10409661.1006</v>
      </c>
      <c r="D143" s="79"/>
      <c r="E143" s="79"/>
      <c r="F143" s="80"/>
      <c r="G143" s="80"/>
      <c r="H143" s="76"/>
    </row>
    <row r="144" spans="1:8" s="75" customFormat="1" x14ac:dyDescent="0.25">
      <c r="A144" s="84"/>
      <c r="B144" s="85" t="s">
        <v>136</v>
      </c>
      <c r="C144" s="86"/>
      <c r="D144" s="87"/>
      <c r="E144" s="87"/>
      <c r="H144" s="76"/>
    </row>
    <row r="145" spans="1:8" s="75" customFormat="1" x14ac:dyDescent="0.25">
      <c r="A145" s="88"/>
      <c r="B145" s="89" t="s">
        <v>137</v>
      </c>
      <c r="C145" s="86">
        <f>10409661.1006-C161</f>
        <v>9186661.1006000005</v>
      </c>
      <c r="D145" s="87"/>
      <c r="E145" s="87"/>
      <c r="H145" s="76"/>
    </row>
    <row r="146" spans="1:8" s="75" customFormat="1" x14ac:dyDescent="0.25">
      <c r="A146" s="88"/>
      <c r="B146" s="90" t="s">
        <v>138</v>
      </c>
      <c r="C146" s="86"/>
      <c r="D146" s="87"/>
      <c r="E146" s="87"/>
      <c r="H146" s="76"/>
    </row>
    <row r="147" spans="1:8" s="75" customFormat="1" x14ac:dyDescent="0.25">
      <c r="A147" s="88"/>
      <c r="B147" s="91" t="s">
        <v>139</v>
      </c>
      <c r="C147" s="86">
        <f>+SUM(C148:C154)+C159+C160</f>
        <v>7482372.6702999994</v>
      </c>
      <c r="D147" s="87"/>
      <c r="E147" s="87"/>
      <c r="F147" s="80"/>
      <c r="G147" s="134"/>
      <c r="H147" s="76"/>
    </row>
    <row r="148" spans="1:8" s="75" customFormat="1" ht="49.5" x14ac:dyDescent="0.25">
      <c r="A148" s="88"/>
      <c r="B148" s="90" t="s">
        <v>243</v>
      </c>
      <c r="C148" s="86">
        <f>200000-30000+30000+90000</f>
        <v>290000</v>
      </c>
      <c r="D148" s="87"/>
      <c r="E148" s="87"/>
      <c r="G148" s="134"/>
      <c r="H148" s="76"/>
    </row>
    <row r="149" spans="1:8" s="116" customFormat="1" ht="49.5" x14ac:dyDescent="0.25">
      <c r="A149" s="88"/>
      <c r="B149" s="90" t="s">
        <v>244</v>
      </c>
      <c r="C149" s="86">
        <v>10000</v>
      </c>
      <c r="D149" s="123"/>
      <c r="E149" s="123"/>
      <c r="G149" s="135"/>
      <c r="H149" s="117"/>
    </row>
    <row r="150" spans="1:8" s="75" customFormat="1" ht="33" x14ac:dyDescent="0.25">
      <c r="A150" s="88"/>
      <c r="B150" s="90" t="s">
        <v>245</v>
      </c>
      <c r="C150" s="86">
        <v>20000</v>
      </c>
      <c r="D150" s="87"/>
      <c r="E150" s="87"/>
      <c r="G150" s="134"/>
      <c r="H150" s="76"/>
    </row>
    <row r="151" spans="1:8" s="75" customFormat="1" ht="66" x14ac:dyDescent="0.25">
      <c r="A151" s="88"/>
      <c r="B151" s="136" t="s">
        <v>246</v>
      </c>
      <c r="C151" s="86">
        <v>46407.786999999997</v>
      </c>
      <c r="D151" s="87"/>
      <c r="E151" s="87"/>
      <c r="G151" s="134"/>
      <c r="H151" s="76"/>
    </row>
    <row r="152" spans="1:8" s="75" customFormat="1" ht="33" x14ac:dyDescent="0.25">
      <c r="A152" s="88"/>
      <c r="B152" s="90" t="s">
        <v>247</v>
      </c>
      <c r="C152" s="86">
        <v>71412.52899999998</v>
      </c>
      <c r="D152" s="87"/>
      <c r="E152" s="87"/>
      <c r="G152" s="134"/>
      <c r="H152" s="76"/>
    </row>
    <row r="153" spans="1:8" s="75" customFormat="1" ht="33" x14ac:dyDescent="0.25">
      <c r="A153" s="88"/>
      <c r="B153" s="90" t="s">
        <v>248</v>
      </c>
      <c r="C153" s="86">
        <v>6440586</v>
      </c>
      <c r="D153" s="87"/>
      <c r="E153" s="87"/>
      <c r="F153" s="80"/>
      <c r="G153" s="134"/>
      <c r="H153" s="76"/>
    </row>
    <row r="154" spans="1:8" s="75" customFormat="1" ht="33" x14ac:dyDescent="0.25">
      <c r="A154" s="88"/>
      <c r="B154" s="90" t="s">
        <v>249</v>
      </c>
      <c r="C154" s="86">
        <f>+C156+C157</f>
        <v>451278</v>
      </c>
      <c r="D154" s="87"/>
      <c r="E154" s="87"/>
      <c r="F154" s="80"/>
      <c r="G154" s="134"/>
      <c r="H154" s="76"/>
    </row>
    <row r="155" spans="1:8" s="75" customFormat="1" x14ac:dyDescent="0.25">
      <c r="A155" s="137"/>
      <c r="B155" s="138" t="s">
        <v>136</v>
      </c>
      <c r="C155" s="139"/>
      <c r="D155" s="140"/>
      <c r="E155" s="140"/>
      <c r="F155" s="80"/>
      <c r="G155" s="141"/>
      <c r="H155" s="76"/>
    </row>
    <row r="156" spans="1:8" s="75" customFormat="1" ht="49.5" x14ac:dyDescent="0.25">
      <c r="A156" s="88"/>
      <c r="B156" s="142" t="s">
        <v>250</v>
      </c>
      <c r="C156" s="86">
        <v>91864</v>
      </c>
      <c r="D156" s="87"/>
      <c r="E156" s="87"/>
      <c r="F156" s="80"/>
      <c r="G156" s="134"/>
      <c r="H156" s="76"/>
    </row>
    <row r="157" spans="1:8" s="75" customFormat="1" x14ac:dyDescent="0.25">
      <c r="A157" s="88"/>
      <c r="B157" s="142" t="s">
        <v>251</v>
      </c>
      <c r="C157" s="86">
        <v>359414</v>
      </c>
      <c r="D157" s="87"/>
      <c r="E157" s="87"/>
      <c r="F157" s="80"/>
      <c r="G157" s="134"/>
      <c r="H157" s="76"/>
    </row>
    <row r="158" spans="1:8" s="75" customFormat="1" x14ac:dyDescent="0.25">
      <c r="A158" s="88"/>
      <c r="B158" s="95" t="s">
        <v>149</v>
      </c>
      <c r="C158" s="86"/>
      <c r="D158" s="87"/>
      <c r="E158" s="87"/>
      <c r="G158" s="134"/>
      <c r="H158" s="76"/>
    </row>
    <row r="159" spans="1:8" s="75" customFormat="1" x14ac:dyDescent="0.25">
      <c r="A159" s="88"/>
      <c r="B159" s="90" t="s">
        <v>252</v>
      </c>
      <c r="C159" s="86">
        <v>52688.354299999999</v>
      </c>
      <c r="D159" s="87"/>
      <c r="E159" s="87"/>
      <c r="G159" s="134"/>
      <c r="H159" s="76"/>
    </row>
    <row r="160" spans="1:8" s="75" customFormat="1" x14ac:dyDescent="0.25">
      <c r="A160" s="88"/>
      <c r="B160" s="90" t="s">
        <v>253</v>
      </c>
      <c r="C160" s="86">
        <f>50000+50000</f>
        <v>100000</v>
      </c>
      <c r="D160" s="87"/>
      <c r="E160" s="87"/>
      <c r="G160" s="134"/>
      <c r="H160" s="76"/>
    </row>
    <row r="161" spans="1:8" s="75" customFormat="1" ht="33" x14ac:dyDescent="0.25">
      <c r="A161" s="88"/>
      <c r="B161" s="89" t="s">
        <v>152</v>
      </c>
      <c r="C161" s="86">
        <v>1223000</v>
      </c>
      <c r="D161" s="87"/>
      <c r="E161" s="87"/>
      <c r="H161" s="76"/>
    </row>
    <row r="162" spans="1:8" s="75" customFormat="1" x14ac:dyDescent="0.25">
      <c r="A162" s="81" t="s">
        <v>254</v>
      </c>
      <c r="B162" s="82" t="s">
        <v>255</v>
      </c>
      <c r="C162" s="83">
        <f>+C164+C170</f>
        <v>123024.1599</v>
      </c>
      <c r="D162" s="79"/>
      <c r="E162" s="79"/>
      <c r="F162" s="80"/>
      <c r="G162" s="80"/>
      <c r="H162" s="76"/>
    </row>
    <row r="163" spans="1:8" s="75" customFormat="1" x14ac:dyDescent="0.25">
      <c r="A163" s="84"/>
      <c r="B163" s="85" t="s">
        <v>136</v>
      </c>
      <c r="C163" s="86"/>
      <c r="D163" s="87"/>
      <c r="E163" s="87"/>
      <c r="H163" s="76"/>
    </row>
    <row r="164" spans="1:8" s="75" customFormat="1" x14ac:dyDescent="0.25">
      <c r="A164" s="88"/>
      <c r="B164" s="89" t="s">
        <v>137</v>
      </c>
      <c r="C164" s="86">
        <f>123024.1599-C170</f>
        <v>123024.1599</v>
      </c>
      <c r="D164" s="87"/>
      <c r="E164" s="87"/>
      <c r="H164" s="76"/>
    </row>
    <row r="165" spans="1:8" s="75" customFormat="1" x14ac:dyDescent="0.25">
      <c r="A165" s="88"/>
      <c r="B165" s="90" t="s">
        <v>138</v>
      </c>
      <c r="C165" s="86"/>
      <c r="D165" s="87"/>
      <c r="E165" s="87"/>
      <c r="H165" s="76"/>
    </row>
    <row r="166" spans="1:8" s="75" customFormat="1" x14ac:dyDescent="0.25">
      <c r="A166" s="88"/>
      <c r="B166" s="91" t="s">
        <v>139</v>
      </c>
      <c r="C166" s="127">
        <f>+SUM(C167:C169)</f>
        <v>35000</v>
      </c>
      <c r="D166" s="93"/>
      <c r="E166" s="87"/>
      <c r="H166" s="76"/>
    </row>
    <row r="167" spans="1:8" s="75" customFormat="1" ht="49.5" x14ac:dyDescent="0.25">
      <c r="A167" s="88"/>
      <c r="B167" s="90" t="s">
        <v>256</v>
      </c>
      <c r="C167" s="86">
        <v>20000</v>
      </c>
      <c r="D167" s="110"/>
      <c r="E167" s="87"/>
      <c r="H167" s="76"/>
    </row>
    <row r="168" spans="1:8" s="75" customFormat="1" ht="49.5" x14ac:dyDescent="0.25">
      <c r="A168" s="88"/>
      <c r="B168" s="90" t="s">
        <v>257</v>
      </c>
      <c r="C168" s="86">
        <v>10000</v>
      </c>
      <c r="D168" s="110"/>
      <c r="E168" s="87"/>
      <c r="H168" s="76"/>
    </row>
    <row r="169" spans="1:8" s="75" customFormat="1" ht="33" x14ac:dyDescent="0.25">
      <c r="A169" s="88"/>
      <c r="B169" s="90" t="s">
        <v>258</v>
      </c>
      <c r="C169" s="86">
        <v>5000</v>
      </c>
      <c r="D169" s="87"/>
      <c r="E169" s="87"/>
      <c r="H169" s="76"/>
    </row>
    <row r="170" spans="1:8" s="75" customFormat="1" ht="33" x14ac:dyDescent="0.25">
      <c r="A170" s="88"/>
      <c r="B170" s="89" t="s">
        <v>152</v>
      </c>
      <c r="C170" s="86"/>
      <c r="D170" s="87"/>
      <c r="E170" s="87"/>
      <c r="H170" s="76"/>
    </row>
    <row r="171" spans="1:8" s="75" customFormat="1" x14ac:dyDescent="0.25">
      <c r="A171" s="81" t="s">
        <v>259</v>
      </c>
      <c r="B171" s="82" t="s">
        <v>260</v>
      </c>
      <c r="C171" s="83">
        <f>+C173+C179+C180</f>
        <v>6713711.6821475001</v>
      </c>
      <c r="D171" s="79"/>
      <c r="E171" s="79"/>
      <c r="F171" s="80"/>
      <c r="G171" s="80"/>
      <c r="H171" s="76"/>
    </row>
    <row r="172" spans="1:8" s="75" customFormat="1" x14ac:dyDescent="0.25">
      <c r="A172" s="84"/>
      <c r="B172" s="85" t="s">
        <v>136</v>
      </c>
      <c r="C172" s="86"/>
      <c r="D172" s="87"/>
      <c r="E172" s="87"/>
      <c r="H172" s="76"/>
    </row>
    <row r="173" spans="1:8" s="75" customFormat="1" x14ac:dyDescent="0.25">
      <c r="A173" s="88"/>
      <c r="B173" s="89" t="s">
        <v>137</v>
      </c>
      <c r="C173" s="86">
        <f>6713711.6821475-C179-C180</f>
        <v>383711.68214750011</v>
      </c>
      <c r="D173" s="87"/>
      <c r="E173" s="87"/>
      <c r="H173" s="76"/>
    </row>
    <row r="174" spans="1:8" s="75" customFormat="1" x14ac:dyDescent="0.25">
      <c r="A174" s="88"/>
      <c r="B174" s="90" t="s">
        <v>138</v>
      </c>
      <c r="C174" s="86"/>
      <c r="D174" s="87"/>
      <c r="E174" s="87"/>
      <c r="H174" s="76"/>
    </row>
    <row r="175" spans="1:8" s="75" customFormat="1" x14ac:dyDescent="0.25">
      <c r="A175" s="88"/>
      <c r="B175" s="91" t="s">
        <v>139</v>
      </c>
      <c r="C175" s="86">
        <f>+SUM(C176:C178)</f>
        <v>85378.205646362505</v>
      </c>
      <c r="D175" s="87"/>
      <c r="E175" s="87"/>
      <c r="H175" s="76"/>
    </row>
    <row r="176" spans="1:8" s="75" customFormat="1" ht="33" x14ac:dyDescent="0.25">
      <c r="A176" s="88"/>
      <c r="B176" s="90" t="s">
        <v>261</v>
      </c>
      <c r="C176" s="86">
        <v>63668.905646362502</v>
      </c>
      <c r="D176" s="87"/>
      <c r="E176" s="87"/>
      <c r="H176" s="76"/>
    </row>
    <row r="177" spans="1:10" s="75" customFormat="1" ht="66" x14ac:dyDescent="0.25">
      <c r="A177" s="88"/>
      <c r="B177" s="90" t="s">
        <v>262</v>
      </c>
      <c r="C177" s="86">
        <v>20000</v>
      </c>
      <c r="D177" s="87"/>
      <c r="E177" s="87"/>
      <c r="H177" s="76"/>
    </row>
    <row r="178" spans="1:10" s="75" customFormat="1" ht="33" x14ac:dyDescent="0.25">
      <c r="A178" s="88"/>
      <c r="B178" s="90" t="s">
        <v>263</v>
      </c>
      <c r="C178" s="86">
        <v>1709.3</v>
      </c>
      <c r="D178" s="87"/>
      <c r="E178" s="87"/>
      <c r="H178" s="76"/>
    </row>
    <row r="179" spans="1:10" s="75" customFormat="1" ht="33" x14ac:dyDescent="0.25">
      <c r="A179" s="88"/>
      <c r="B179" s="89" t="s">
        <v>152</v>
      </c>
      <c r="C179" s="86">
        <v>150000</v>
      </c>
      <c r="D179" s="87"/>
      <c r="E179" s="79"/>
      <c r="H179" s="76"/>
    </row>
    <row r="180" spans="1:10" s="75" customFormat="1" x14ac:dyDescent="0.25">
      <c r="A180" s="88"/>
      <c r="B180" s="89" t="s">
        <v>264</v>
      </c>
      <c r="C180" s="86">
        <v>6180000</v>
      </c>
      <c r="D180" s="87"/>
      <c r="E180" s="87"/>
      <c r="F180" s="143"/>
      <c r="G180" s="143"/>
      <c r="H180" s="144"/>
      <c r="J180" s="80"/>
    </row>
    <row r="181" spans="1:10" s="75" customFormat="1" ht="33" x14ac:dyDescent="0.25">
      <c r="A181" s="81" t="s">
        <v>265</v>
      </c>
      <c r="B181" s="82" t="s">
        <v>266</v>
      </c>
      <c r="C181" s="83">
        <f>+C183+C195+C196</f>
        <v>927110.67021999997</v>
      </c>
      <c r="D181" s="79"/>
      <c r="E181" s="79"/>
      <c r="F181" s="80"/>
      <c r="G181" s="80"/>
      <c r="H181" s="76"/>
    </row>
    <row r="182" spans="1:10" s="75" customFormat="1" x14ac:dyDescent="0.25">
      <c r="A182" s="84"/>
      <c r="B182" s="85" t="s">
        <v>136</v>
      </c>
      <c r="C182" s="86"/>
      <c r="D182" s="87"/>
      <c r="E182" s="87"/>
      <c r="H182" s="76"/>
    </row>
    <row r="183" spans="1:10" s="75" customFormat="1" x14ac:dyDescent="0.25">
      <c r="A183" s="88"/>
      <c r="B183" s="89" t="s">
        <v>137</v>
      </c>
      <c r="C183" s="86">
        <f>917110.67022+10000-C195-C196</f>
        <v>748470.67021999997</v>
      </c>
      <c r="D183" s="87"/>
      <c r="E183" s="87"/>
      <c r="H183" s="76"/>
    </row>
    <row r="184" spans="1:10" s="75" customFormat="1" x14ac:dyDescent="0.25">
      <c r="A184" s="88"/>
      <c r="B184" s="90" t="s">
        <v>138</v>
      </c>
      <c r="C184" s="86"/>
      <c r="D184" s="87"/>
      <c r="E184" s="87"/>
      <c r="H184" s="76"/>
    </row>
    <row r="185" spans="1:10" s="75" customFormat="1" x14ac:dyDescent="0.25">
      <c r="A185" s="88"/>
      <c r="B185" s="91" t="s">
        <v>139</v>
      </c>
      <c r="C185" s="86">
        <f>+SUM(C186:C194)</f>
        <v>418376.6</v>
      </c>
      <c r="D185" s="87"/>
      <c r="E185" s="87"/>
      <c r="H185" s="76"/>
    </row>
    <row r="186" spans="1:10" s="75" customFormat="1" ht="49.5" x14ac:dyDescent="0.25">
      <c r="A186" s="88"/>
      <c r="B186" s="90" t="s">
        <v>267</v>
      </c>
      <c r="C186" s="86">
        <v>8000</v>
      </c>
      <c r="D186" s="87"/>
      <c r="E186" s="87"/>
      <c r="H186" s="76"/>
    </row>
    <row r="187" spans="1:10" s="75" customFormat="1" ht="38.25" customHeight="1" x14ac:dyDescent="0.25">
      <c r="A187" s="88"/>
      <c r="B187" s="90" t="s">
        <v>268</v>
      </c>
      <c r="C187" s="86">
        <v>80000</v>
      </c>
      <c r="D187" s="87"/>
      <c r="E187" s="79"/>
      <c r="H187" s="76"/>
    </row>
    <row r="188" spans="1:10" s="75" customFormat="1" ht="25.5" customHeight="1" x14ac:dyDescent="0.25">
      <c r="A188" s="88"/>
      <c r="B188" s="90" t="s">
        <v>269</v>
      </c>
      <c r="C188" s="86">
        <v>30000</v>
      </c>
      <c r="D188" s="87"/>
      <c r="E188" s="87"/>
      <c r="H188" s="76"/>
    </row>
    <row r="189" spans="1:10" s="75" customFormat="1" x14ac:dyDescent="0.25">
      <c r="A189" s="88"/>
      <c r="B189" s="90" t="s">
        <v>270</v>
      </c>
      <c r="C189" s="86">
        <v>100000</v>
      </c>
      <c r="D189" s="87"/>
      <c r="E189" s="87"/>
      <c r="H189" s="76"/>
    </row>
    <row r="190" spans="1:10" s="75" customFormat="1" ht="49.5" x14ac:dyDescent="0.25">
      <c r="A190" s="88"/>
      <c r="B190" s="90" t="s">
        <v>271</v>
      </c>
      <c r="C190" s="86">
        <v>30000</v>
      </c>
      <c r="D190" s="87"/>
      <c r="E190" s="87"/>
      <c r="H190" s="76"/>
    </row>
    <row r="191" spans="1:10" s="75" customFormat="1" ht="49.5" x14ac:dyDescent="0.25">
      <c r="A191" s="88"/>
      <c r="B191" s="90" t="s">
        <v>272</v>
      </c>
      <c r="C191" s="86">
        <v>10000</v>
      </c>
      <c r="D191" s="87"/>
      <c r="E191" s="87"/>
      <c r="H191" s="76"/>
    </row>
    <row r="192" spans="1:10" s="75" customFormat="1" ht="33" x14ac:dyDescent="0.25">
      <c r="A192" s="88"/>
      <c r="B192" s="90" t="s">
        <v>273</v>
      </c>
      <c r="C192" s="86">
        <v>10000</v>
      </c>
      <c r="D192" s="87"/>
      <c r="E192" s="87"/>
      <c r="H192" s="76"/>
    </row>
    <row r="193" spans="1:8" s="75" customFormat="1" x14ac:dyDescent="0.25">
      <c r="A193" s="88"/>
      <c r="B193" s="95" t="s">
        <v>149</v>
      </c>
      <c r="C193" s="86"/>
      <c r="D193" s="87"/>
      <c r="E193" s="87"/>
      <c r="H193" s="76"/>
    </row>
    <row r="194" spans="1:8" s="75" customFormat="1" ht="33" x14ac:dyDescent="0.25">
      <c r="A194" s="88"/>
      <c r="B194" s="90" t="s">
        <v>274</v>
      </c>
      <c r="C194" s="86">
        <v>150376.6</v>
      </c>
      <c r="D194" s="87"/>
      <c r="E194" s="87"/>
      <c r="H194" s="76"/>
    </row>
    <row r="195" spans="1:8" s="75" customFormat="1" ht="33" x14ac:dyDescent="0.25">
      <c r="A195" s="88"/>
      <c r="B195" s="89" t="s">
        <v>152</v>
      </c>
      <c r="C195" s="86">
        <v>78640</v>
      </c>
      <c r="D195" s="87"/>
      <c r="E195" s="87"/>
      <c r="H195" s="76"/>
    </row>
    <row r="196" spans="1:8" s="75" customFormat="1" x14ac:dyDescent="0.25">
      <c r="A196" s="88"/>
      <c r="B196" s="89" t="s">
        <v>275</v>
      </c>
      <c r="C196" s="86">
        <v>100000</v>
      </c>
      <c r="D196" s="87"/>
      <c r="E196" s="87"/>
      <c r="H196" s="76"/>
    </row>
    <row r="197" spans="1:8" s="75" customFormat="1" x14ac:dyDescent="0.25">
      <c r="A197" s="81" t="s">
        <v>276</v>
      </c>
      <c r="B197" s="82" t="s">
        <v>277</v>
      </c>
      <c r="C197" s="83">
        <f>+SUM(C199,C203)</f>
        <v>1008747.4644000001</v>
      </c>
      <c r="D197" s="79"/>
      <c r="E197" s="79"/>
      <c r="F197" s="80"/>
      <c r="G197" s="80"/>
      <c r="H197" s="76"/>
    </row>
    <row r="198" spans="1:8" s="75" customFormat="1" x14ac:dyDescent="0.25">
      <c r="A198" s="84"/>
      <c r="B198" s="85" t="s">
        <v>136</v>
      </c>
      <c r="C198" s="86"/>
      <c r="D198" s="87"/>
      <c r="E198" s="87"/>
      <c r="H198" s="76"/>
    </row>
    <row r="199" spans="1:8" s="75" customFormat="1" x14ac:dyDescent="0.25">
      <c r="A199" s="88"/>
      <c r="B199" s="89" t="s">
        <v>137</v>
      </c>
      <c r="C199" s="86">
        <f>1008747.4644-C203</f>
        <v>1003747.4644000001</v>
      </c>
      <c r="D199" s="87"/>
      <c r="E199" s="87"/>
      <c r="H199" s="76"/>
    </row>
    <row r="200" spans="1:8" s="75" customFormat="1" x14ac:dyDescent="0.25">
      <c r="A200" s="88"/>
      <c r="B200" s="90" t="s">
        <v>138</v>
      </c>
      <c r="C200" s="86"/>
      <c r="D200" s="87"/>
      <c r="E200" s="87"/>
      <c r="H200" s="76"/>
    </row>
    <row r="201" spans="1:8" s="75" customFormat="1" x14ac:dyDescent="0.25">
      <c r="A201" s="88"/>
      <c r="B201" s="91" t="s">
        <v>139</v>
      </c>
      <c r="C201" s="86">
        <f>+C202</f>
        <v>900000</v>
      </c>
      <c r="D201" s="87"/>
      <c r="E201" s="87"/>
      <c r="H201" s="76"/>
    </row>
    <row r="202" spans="1:8" s="75" customFormat="1" x14ac:dyDescent="0.25">
      <c r="A202" s="88"/>
      <c r="B202" s="90" t="s">
        <v>278</v>
      </c>
      <c r="C202" s="86">
        <v>900000</v>
      </c>
      <c r="D202" s="87"/>
      <c r="E202" s="87"/>
      <c r="H202" s="76"/>
    </row>
    <row r="203" spans="1:8" s="75" customFormat="1" ht="33" x14ac:dyDescent="0.25">
      <c r="A203" s="88"/>
      <c r="B203" s="89" t="s">
        <v>152</v>
      </c>
      <c r="C203" s="86">
        <v>5000</v>
      </c>
      <c r="D203" s="87"/>
      <c r="E203" s="87"/>
      <c r="H203" s="76"/>
    </row>
    <row r="204" spans="1:8" s="75" customFormat="1" ht="33" x14ac:dyDescent="0.25">
      <c r="A204" s="81" t="s">
        <v>279</v>
      </c>
      <c r="B204" s="82" t="s">
        <v>280</v>
      </c>
      <c r="C204" s="83">
        <f>+SUM(C206,C207)</f>
        <v>12587.572</v>
      </c>
      <c r="D204" s="79"/>
      <c r="E204" s="79"/>
      <c r="F204" s="80"/>
      <c r="G204" s="80"/>
      <c r="H204" s="76"/>
    </row>
    <row r="205" spans="1:8" s="75" customFormat="1" x14ac:dyDescent="0.25">
      <c r="A205" s="84"/>
      <c r="B205" s="85" t="s">
        <v>136</v>
      </c>
      <c r="C205" s="86"/>
      <c r="D205" s="87"/>
      <c r="E205" s="87"/>
      <c r="H205" s="76"/>
    </row>
    <row r="206" spans="1:8" s="75" customFormat="1" x14ac:dyDescent="0.25">
      <c r="A206" s="88"/>
      <c r="B206" s="89" t="s">
        <v>137</v>
      </c>
      <c r="C206" s="86">
        <v>12587.572</v>
      </c>
      <c r="D206" s="87"/>
      <c r="E206" s="87"/>
      <c r="H206" s="76"/>
    </row>
    <row r="207" spans="1:8" s="75" customFormat="1" ht="33" x14ac:dyDescent="0.25">
      <c r="A207" s="88"/>
      <c r="B207" s="89" t="s">
        <v>152</v>
      </c>
      <c r="C207" s="86"/>
      <c r="D207" s="87"/>
      <c r="E207" s="87"/>
      <c r="H207" s="76"/>
    </row>
    <row r="208" spans="1:8" s="75" customFormat="1" x14ac:dyDescent="0.25">
      <c r="A208" s="81" t="s">
        <v>281</v>
      </c>
      <c r="B208" s="82" t="s">
        <v>282</v>
      </c>
      <c r="C208" s="83">
        <f>+SUM(C210,C211)</f>
        <v>12127.100699999999</v>
      </c>
      <c r="D208" s="79"/>
      <c r="E208" s="79"/>
      <c r="F208" s="80"/>
      <c r="G208" s="80"/>
      <c r="H208" s="76"/>
    </row>
    <row r="209" spans="1:11" s="75" customFormat="1" x14ac:dyDescent="0.25">
      <c r="A209" s="84"/>
      <c r="B209" s="85" t="s">
        <v>136</v>
      </c>
      <c r="C209" s="86"/>
      <c r="D209" s="87"/>
      <c r="E209" s="87"/>
      <c r="H209" s="76"/>
    </row>
    <row r="210" spans="1:11" s="75" customFormat="1" x14ac:dyDescent="0.25">
      <c r="A210" s="88"/>
      <c r="B210" s="89" t="s">
        <v>137</v>
      </c>
      <c r="C210" s="86">
        <v>12127.100699999999</v>
      </c>
      <c r="D210" s="87"/>
      <c r="E210" s="87"/>
      <c r="H210" s="76"/>
    </row>
    <row r="211" spans="1:11" s="75" customFormat="1" ht="33" x14ac:dyDescent="0.25">
      <c r="A211" s="88"/>
      <c r="B211" s="89" t="s">
        <v>152</v>
      </c>
      <c r="C211" s="86"/>
      <c r="D211" s="87"/>
      <c r="E211" s="87"/>
      <c r="H211" s="76"/>
    </row>
    <row r="212" spans="1:11" s="75" customFormat="1" ht="33" x14ac:dyDescent="0.25">
      <c r="A212" s="81" t="s">
        <v>283</v>
      </c>
      <c r="B212" s="82" t="s">
        <v>284</v>
      </c>
      <c r="C212" s="83">
        <f>+C214+C218+C219</f>
        <v>733202.20719999995</v>
      </c>
      <c r="D212" s="79"/>
      <c r="E212" s="79"/>
      <c r="F212" s="80"/>
      <c r="G212" s="80"/>
      <c r="H212" s="145"/>
    </row>
    <row r="213" spans="1:11" s="75" customFormat="1" x14ac:dyDescent="0.25">
      <c r="A213" s="84"/>
      <c r="B213" s="85" t="s">
        <v>136</v>
      </c>
      <c r="C213" s="86"/>
      <c r="D213" s="87"/>
      <c r="E213" s="87"/>
      <c r="H213" s="76"/>
    </row>
    <row r="214" spans="1:11" s="75" customFormat="1" x14ac:dyDescent="0.25">
      <c r="A214" s="88"/>
      <c r="B214" s="89" t="s">
        <v>137</v>
      </c>
      <c r="C214" s="86">
        <f>733202.2072-C218-C219</f>
        <v>493202.20719999995</v>
      </c>
      <c r="D214" s="87"/>
      <c r="E214" s="87"/>
      <c r="H214" s="76"/>
    </row>
    <row r="215" spans="1:11" s="75" customFormat="1" x14ac:dyDescent="0.25">
      <c r="A215" s="88"/>
      <c r="B215" s="90" t="s">
        <v>138</v>
      </c>
      <c r="C215" s="86"/>
      <c r="D215" s="87"/>
      <c r="E215" s="87"/>
      <c r="H215" s="76"/>
    </row>
    <row r="216" spans="1:11" s="75" customFormat="1" x14ac:dyDescent="0.25">
      <c r="A216" s="88"/>
      <c r="B216" s="91" t="s">
        <v>139</v>
      </c>
      <c r="C216" s="86">
        <f>+SUM(C217:C217)</f>
        <v>430000</v>
      </c>
      <c r="D216" s="87"/>
      <c r="E216" s="87"/>
      <c r="H216" s="76"/>
    </row>
    <row r="217" spans="1:11" s="75" customFormat="1" ht="33" x14ac:dyDescent="0.25">
      <c r="A217" s="88"/>
      <c r="B217" s="90" t="s">
        <v>285</v>
      </c>
      <c r="C217" s="86">
        <f>482228.4-52228.4</f>
        <v>430000</v>
      </c>
      <c r="D217" s="87"/>
      <c r="E217" s="87"/>
      <c r="H217" s="76"/>
      <c r="I217" s="146"/>
      <c r="J217" s="146"/>
      <c r="K217" s="146"/>
    </row>
    <row r="218" spans="1:11" s="75" customFormat="1" ht="33" x14ac:dyDescent="0.25">
      <c r="A218" s="88"/>
      <c r="B218" s="89" t="s">
        <v>152</v>
      </c>
      <c r="C218" s="86"/>
      <c r="D218" s="87"/>
      <c r="E218" s="87"/>
      <c r="H218" s="76"/>
    </row>
    <row r="219" spans="1:11" s="75" customFormat="1" x14ac:dyDescent="0.25">
      <c r="A219" s="88"/>
      <c r="B219" s="89" t="s">
        <v>286</v>
      </c>
      <c r="C219" s="99">
        <f>200000+40000</f>
        <v>240000</v>
      </c>
      <c r="D219" s="100"/>
      <c r="E219" s="100"/>
      <c r="H219" s="76"/>
    </row>
    <row r="220" spans="1:11" s="75" customFormat="1" x14ac:dyDescent="0.25">
      <c r="A220" s="81" t="s">
        <v>287</v>
      </c>
      <c r="B220" s="82" t="s">
        <v>288</v>
      </c>
      <c r="C220" s="83">
        <f>+SUM(C222,C226)</f>
        <v>238868.17808000001</v>
      </c>
      <c r="D220" s="79"/>
      <c r="E220" s="79"/>
      <c r="F220" s="80"/>
      <c r="G220" s="80"/>
      <c r="H220" s="76"/>
    </row>
    <row r="221" spans="1:11" s="75" customFormat="1" x14ac:dyDescent="0.25">
      <c r="A221" s="84"/>
      <c r="B221" s="85" t="s">
        <v>136</v>
      </c>
      <c r="C221" s="86"/>
      <c r="D221" s="87"/>
      <c r="E221" s="87"/>
      <c r="H221" s="76"/>
    </row>
    <row r="222" spans="1:11" s="75" customFormat="1" x14ac:dyDescent="0.25">
      <c r="A222" s="88"/>
      <c r="B222" s="89" t="s">
        <v>137</v>
      </c>
      <c r="C222" s="86">
        <f>238868.17808-C226</f>
        <v>238868.17808000001</v>
      </c>
      <c r="D222" s="87"/>
      <c r="E222" s="87"/>
      <c r="F222" s="80"/>
      <c r="G222" s="80"/>
      <c r="H222" s="76"/>
    </row>
    <row r="223" spans="1:11" s="75" customFormat="1" x14ac:dyDescent="0.25">
      <c r="A223" s="88"/>
      <c r="B223" s="90" t="s">
        <v>138</v>
      </c>
      <c r="C223" s="86"/>
      <c r="D223" s="87"/>
      <c r="E223" s="87"/>
      <c r="F223" s="80"/>
      <c r="G223" s="80"/>
      <c r="H223" s="76"/>
    </row>
    <row r="224" spans="1:11" s="75" customFormat="1" x14ac:dyDescent="0.25">
      <c r="A224" s="88"/>
      <c r="B224" s="91" t="s">
        <v>139</v>
      </c>
      <c r="C224" s="86">
        <f>+C225</f>
        <v>35000</v>
      </c>
      <c r="D224" s="87"/>
      <c r="E224" s="87"/>
      <c r="H224" s="76"/>
    </row>
    <row r="225" spans="1:8" s="75" customFormat="1" ht="33.75" customHeight="1" x14ac:dyDescent="0.25">
      <c r="A225" s="88"/>
      <c r="B225" s="90" t="s">
        <v>289</v>
      </c>
      <c r="C225" s="86">
        <v>35000</v>
      </c>
      <c r="D225" s="87"/>
      <c r="E225" s="87"/>
      <c r="H225" s="145"/>
    </row>
    <row r="226" spans="1:8" s="75" customFormat="1" ht="33" x14ac:dyDescent="0.25">
      <c r="A226" s="88"/>
      <c r="B226" s="89" t="s">
        <v>152</v>
      </c>
      <c r="C226" s="86"/>
      <c r="D226" s="87"/>
      <c r="E226" s="87"/>
      <c r="H226" s="76"/>
    </row>
    <row r="227" spans="1:8" s="75" customFormat="1" x14ac:dyDescent="0.25">
      <c r="A227" s="81" t="s">
        <v>290</v>
      </c>
      <c r="B227" s="82" t="s">
        <v>291</v>
      </c>
      <c r="C227" s="83">
        <f>+C229+C237</f>
        <v>1026976.6545925</v>
      </c>
      <c r="D227" s="79"/>
      <c r="E227" s="79"/>
      <c r="F227" s="80"/>
      <c r="G227" s="80"/>
      <c r="H227" s="145"/>
    </row>
    <row r="228" spans="1:8" s="75" customFormat="1" x14ac:dyDescent="0.25">
      <c r="A228" s="84"/>
      <c r="B228" s="85" t="s">
        <v>136</v>
      </c>
      <c r="C228" s="86"/>
      <c r="D228" s="87"/>
      <c r="E228" s="87"/>
      <c r="H228" s="76"/>
    </row>
    <row r="229" spans="1:8" s="75" customFormat="1" x14ac:dyDescent="0.25">
      <c r="A229" s="88"/>
      <c r="B229" s="89" t="s">
        <v>137</v>
      </c>
      <c r="C229" s="86">
        <f>1026976.6545925-C237</f>
        <v>906216.65459249995</v>
      </c>
      <c r="D229" s="87"/>
      <c r="E229" s="87"/>
      <c r="H229" s="76"/>
    </row>
    <row r="230" spans="1:8" s="75" customFormat="1" x14ac:dyDescent="0.25">
      <c r="A230" s="88"/>
      <c r="B230" s="90" t="s">
        <v>138</v>
      </c>
      <c r="C230" s="86"/>
      <c r="D230" s="87"/>
      <c r="E230" s="87"/>
      <c r="H230" s="76"/>
    </row>
    <row r="231" spans="1:8" s="75" customFormat="1" ht="33" x14ac:dyDescent="0.25">
      <c r="A231" s="88"/>
      <c r="B231" s="91" t="s">
        <v>292</v>
      </c>
      <c r="C231" s="86">
        <f>+C233+C234</f>
        <v>671789.73361340002</v>
      </c>
      <c r="D231" s="112"/>
      <c r="E231" s="87"/>
      <c r="F231" s="80"/>
      <c r="G231" s="80"/>
      <c r="H231" s="76"/>
    </row>
    <row r="232" spans="1:8" s="75" customFormat="1" x14ac:dyDescent="0.25">
      <c r="A232" s="88"/>
      <c r="B232" s="138" t="s">
        <v>186</v>
      </c>
      <c r="C232" s="86"/>
      <c r="D232" s="87"/>
      <c r="E232" s="87"/>
      <c r="H232" s="76"/>
    </row>
    <row r="233" spans="1:8" s="75" customFormat="1" x14ac:dyDescent="0.25">
      <c r="A233" s="88"/>
      <c r="B233" s="90" t="s">
        <v>293</v>
      </c>
      <c r="C233" s="86">
        <f>183449.514+85000</f>
        <v>268449.51399999997</v>
      </c>
      <c r="D233" s="147"/>
      <c r="E233" s="147"/>
      <c r="H233" s="76"/>
    </row>
    <row r="234" spans="1:8" s="75" customFormat="1" x14ac:dyDescent="0.25">
      <c r="A234" s="88"/>
      <c r="B234" s="90" t="s">
        <v>294</v>
      </c>
      <c r="C234" s="86">
        <v>403340.2196134</v>
      </c>
      <c r="D234" s="87"/>
      <c r="E234" s="87"/>
      <c r="H234" s="76"/>
    </row>
    <row r="235" spans="1:8" s="75" customFormat="1" x14ac:dyDescent="0.25">
      <c r="A235" s="88"/>
      <c r="B235" s="91" t="s">
        <v>139</v>
      </c>
      <c r="C235" s="86">
        <f>+C236</f>
        <v>22000</v>
      </c>
      <c r="D235" s="87"/>
      <c r="E235" s="87"/>
      <c r="H235" s="76"/>
    </row>
    <row r="236" spans="1:8" s="75" customFormat="1" ht="49.5" x14ac:dyDescent="0.25">
      <c r="A236" s="88"/>
      <c r="B236" s="90" t="s">
        <v>295</v>
      </c>
      <c r="C236" s="86">
        <v>22000</v>
      </c>
      <c r="D236" s="87"/>
      <c r="E236" s="87"/>
      <c r="H236" s="76"/>
    </row>
    <row r="237" spans="1:8" s="75" customFormat="1" ht="33" x14ac:dyDescent="0.25">
      <c r="A237" s="88"/>
      <c r="B237" s="89" t="s">
        <v>152</v>
      </c>
      <c r="C237" s="86">
        <v>120760</v>
      </c>
      <c r="D237" s="87"/>
      <c r="E237" s="87"/>
      <c r="H237" s="76"/>
    </row>
    <row r="238" spans="1:8" s="116" customFormat="1" x14ac:dyDescent="0.25">
      <c r="A238" s="148" t="s">
        <v>296</v>
      </c>
      <c r="B238" s="149" t="s">
        <v>297</v>
      </c>
      <c r="C238" s="150">
        <f>+SUM(C240,C246)</f>
        <v>1116034.1202</v>
      </c>
      <c r="D238" s="115"/>
      <c r="E238" s="115"/>
      <c r="F238" s="151"/>
      <c r="G238" s="151"/>
      <c r="H238" s="117"/>
    </row>
    <row r="239" spans="1:8" s="75" customFormat="1" x14ac:dyDescent="0.25">
      <c r="A239" s="84"/>
      <c r="B239" s="85" t="s">
        <v>136</v>
      </c>
      <c r="C239" s="86"/>
      <c r="D239" s="87"/>
      <c r="E239" s="87"/>
      <c r="H239" s="76"/>
    </row>
    <row r="240" spans="1:8" s="75" customFormat="1" x14ac:dyDescent="0.25">
      <c r="A240" s="88"/>
      <c r="B240" s="89" t="s">
        <v>137</v>
      </c>
      <c r="C240" s="86">
        <f>1116034.1202-C246</f>
        <v>1116034.1202</v>
      </c>
      <c r="D240" s="87"/>
      <c r="E240" s="87"/>
      <c r="H240" s="76"/>
    </row>
    <row r="241" spans="1:8" s="75" customFormat="1" x14ac:dyDescent="0.25">
      <c r="A241" s="88"/>
      <c r="B241" s="90" t="s">
        <v>138</v>
      </c>
      <c r="C241" s="86"/>
      <c r="D241" s="87"/>
      <c r="E241" s="87"/>
      <c r="H241" s="76"/>
    </row>
    <row r="242" spans="1:8" s="75" customFormat="1" x14ac:dyDescent="0.25">
      <c r="A242" s="88"/>
      <c r="B242" s="91" t="s">
        <v>139</v>
      </c>
      <c r="C242" s="86">
        <f>+SUM(C243:C245)</f>
        <v>936550</v>
      </c>
      <c r="D242" s="87"/>
      <c r="E242" s="87"/>
      <c r="H242" s="76"/>
    </row>
    <row r="243" spans="1:8" s="75" customFormat="1" ht="49.5" x14ac:dyDescent="0.25">
      <c r="A243" s="88"/>
      <c r="B243" s="90" t="s">
        <v>295</v>
      </c>
      <c r="C243" s="86">
        <v>23100</v>
      </c>
      <c r="D243" s="87"/>
      <c r="E243" s="87"/>
      <c r="H243" s="76"/>
    </row>
    <row r="244" spans="1:8" s="75" customFormat="1" x14ac:dyDescent="0.25">
      <c r="A244" s="88"/>
      <c r="B244" s="90" t="s">
        <v>298</v>
      </c>
      <c r="C244" s="86">
        <f>664700+50000</f>
        <v>714700</v>
      </c>
      <c r="D244" s="87"/>
      <c r="E244" s="87"/>
      <c r="F244" s="80"/>
      <c r="H244" s="76"/>
    </row>
    <row r="245" spans="1:8" s="75" customFormat="1" x14ac:dyDescent="0.25">
      <c r="A245" s="88"/>
      <c r="B245" s="90" t="s">
        <v>299</v>
      </c>
      <c r="C245" s="86">
        <v>198750</v>
      </c>
      <c r="D245" s="87"/>
      <c r="E245" s="87"/>
      <c r="H245" s="76"/>
    </row>
    <row r="246" spans="1:8" s="75" customFormat="1" ht="33" x14ac:dyDescent="0.25">
      <c r="A246" s="88"/>
      <c r="B246" s="89" t="s">
        <v>152</v>
      </c>
      <c r="C246" s="86"/>
      <c r="D246" s="87"/>
      <c r="E246" s="87"/>
      <c r="H246" s="76"/>
    </row>
    <row r="247" spans="1:8" s="75" customFormat="1" x14ac:dyDescent="0.25">
      <c r="A247" s="81" t="s">
        <v>300</v>
      </c>
      <c r="B247" s="82" t="s">
        <v>301</v>
      </c>
      <c r="C247" s="83">
        <f>+SUM(C249,C254)</f>
        <v>532428.36224499997</v>
      </c>
      <c r="D247" s="79"/>
      <c r="E247" s="79"/>
      <c r="F247" s="80"/>
      <c r="G247" s="80"/>
      <c r="H247" s="76"/>
    </row>
    <row r="248" spans="1:8" s="75" customFormat="1" x14ac:dyDescent="0.25">
      <c r="A248" s="84"/>
      <c r="B248" s="85" t="s">
        <v>136</v>
      </c>
      <c r="C248" s="86"/>
      <c r="D248" s="87"/>
      <c r="E248" s="87"/>
      <c r="H248" s="76"/>
    </row>
    <row r="249" spans="1:8" s="75" customFormat="1" x14ac:dyDescent="0.25">
      <c r="A249" s="88"/>
      <c r="B249" s="89" t="s">
        <v>137</v>
      </c>
      <c r="C249" s="86">
        <f>532428.362245-C254</f>
        <v>527428.36224499997</v>
      </c>
      <c r="D249" s="87"/>
      <c r="E249" s="87"/>
      <c r="H249" s="76"/>
    </row>
    <row r="250" spans="1:8" s="75" customFormat="1" x14ac:dyDescent="0.25">
      <c r="A250" s="152"/>
      <c r="B250" s="90" t="s">
        <v>138</v>
      </c>
      <c r="C250" s="86"/>
      <c r="D250" s="87"/>
      <c r="E250" s="87"/>
      <c r="H250" s="76"/>
    </row>
    <row r="251" spans="1:8" s="75" customFormat="1" x14ac:dyDescent="0.25">
      <c r="A251" s="152"/>
      <c r="B251" s="91" t="s">
        <v>139</v>
      </c>
      <c r="C251" s="86">
        <f>+C252+C253</f>
        <v>4100</v>
      </c>
      <c r="D251" s="87"/>
      <c r="E251" s="87"/>
      <c r="H251" s="76"/>
    </row>
    <row r="252" spans="1:8" s="75" customFormat="1" ht="33" x14ac:dyDescent="0.25">
      <c r="A252" s="88"/>
      <c r="B252" s="90" t="s">
        <v>302</v>
      </c>
      <c r="C252" s="86">
        <v>3900</v>
      </c>
      <c r="D252" s="87"/>
      <c r="E252" s="87"/>
      <c r="H252" s="76"/>
    </row>
    <row r="253" spans="1:8" s="75" customFormat="1" ht="33" x14ac:dyDescent="0.25">
      <c r="A253" s="88"/>
      <c r="B253" s="90" t="s">
        <v>303</v>
      </c>
      <c r="C253" s="86">
        <v>200</v>
      </c>
      <c r="D253" s="87"/>
      <c r="E253" s="87"/>
      <c r="H253" s="76"/>
    </row>
    <row r="254" spans="1:8" s="75" customFormat="1" ht="33" x14ac:dyDescent="0.25">
      <c r="A254" s="88"/>
      <c r="B254" s="89" t="s">
        <v>152</v>
      </c>
      <c r="C254" s="86">
        <v>5000</v>
      </c>
      <c r="D254" s="87"/>
      <c r="E254" s="87"/>
      <c r="H254" s="76"/>
    </row>
    <row r="255" spans="1:8" s="75" customFormat="1" x14ac:dyDescent="0.25">
      <c r="A255" s="81" t="s">
        <v>304</v>
      </c>
      <c r="B255" s="82" t="s">
        <v>305</v>
      </c>
      <c r="C255" s="83">
        <f>+SUM(C257,C258)</f>
        <v>322491.97490999999</v>
      </c>
      <c r="D255" s="79"/>
      <c r="E255" s="79"/>
      <c r="F255" s="80"/>
      <c r="G255" s="80"/>
      <c r="H255" s="76"/>
    </row>
    <row r="256" spans="1:8" s="75" customFormat="1" x14ac:dyDescent="0.25">
      <c r="A256" s="84"/>
      <c r="B256" s="85" t="s">
        <v>136</v>
      </c>
      <c r="C256" s="86"/>
      <c r="D256" s="87"/>
      <c r="E256" s="87"/>
      <c r="H256" s="76"/>
    </row>
    <row r="257" spans="1:8" s="75" customFormat="1" x14ac:dyDescent="0.25">
      <c r="A257" s="88"/>
      <c r="B257" s="89" t="s">
        <v>137</v>
      </c>
      <c r="C257" s="86">
        <f>322491.97491-C258</f>
        <v>312491.97490999999</v>
      </c>
      <c r="D257" s="87"/>
      <c r="E257" s="87"/>
      <c r="H257" s="76"/>
    </row>
    <row r="258" spans="1:8" s="75" customFormat="1" ht="33" x14ac:dyDescent="0.25">
      <c r="A258" s="88"/>
      <c r="B258" s="89" t="s">
        <v>152</v>
      </c>
      <c r="C258" s="86">
        <v>10000</v>
      </c>
      <c r="D258" s="79"/>
      <c r="E258" s="87"/>
      <c r="H258" s="76"/>
    </row>
    <row r="259" spans="1:8" s="75" customFormat="1" x14ac:dyDescent="0.25">
      <c r="A259" s="81" t="s">
        <v>306</v>
      </c>
      <c r="B259" s="129" t="s">
        <v>307</v>
      </c>
      <c r="C259" s="153">
        <f>+C261</f>
        <v>169396.87429999997</v>
      </c>
      <c r="D259" s="79"/>
      <c r="E259" s="79"/>
      <c r="H259" s="76"/>
    </row>
    <row r="260" spans="1:8" s="75" customFormat="1" x14ac:dyDescent="0.25">
      <c r="A260" s="84"/>
      <c r="B260" s="85" t="s">
        <v>136</v>
      </c>
      <c r="C260" s="86"/>
      <c r="D260" s="87"/>
      <c r="E260" s="87"/>
      <c r="H260" s="76"/>
    </row>
    <row r="261" spans="1:8" s="75" customFormat="1" x14ac:dyDescent="0.25">
      <c r="A261" s="88"/>
      <c r="B261" s="89" t="s">
        <v>137</v>
      </c>
      <c r="C261" s="86">
        <v>169396.87429999997</v>
      </c>
      <c r="D261" s="87"/>
      <c r="E261" s="87"/>
      <c r="H261" s="76"/>
    </row>
    <row r="262" spans="1:8" s="75" customFormat="1" ht="33" x14ac:dyDescent="0.25">
      <c r="A262" s="88"/>
      <c r="B262" s="89" t="s">
        <v>152</v>
      </c>
      <c r="C262" s="86"/>
      <c r="D262" s="87"/>
      <c r="E262" s="87"/>
      <c r="H262" s="76"/>
    </row>
    <row r="263" spans="1:8" s="126" customFormat="1" x14ac:dyDescent="0.25">
      <c r="A263" s="81" t="s">
        <v>308</v>
      </c>
      <c r="B263" s="82" t="s">
        <v>309</v>
      </c>
      <c r="C263" s="83">
        <v>881354.50970000005</v>
      </c>
      <c r="D263" s="79"/>
      <c r="E263" s="79"/>
      <c r="F263" s="80"/>
      <c r="G263" s="124"/>
      <c r="H263" s="125"/>
    </row>
    <row r="264" spans="1:8" s="126" customFormat="1" x14ac:dyDescent="0.25">
      <c r="A264" s="84"/>
      <c r="B264" s="85" t="s">
        <v>136</v>
      </c>
      <c r="C264" s="86"/>
      <c r="D264" s="87"/>
      <c r="E264" s="87"/>
      <c r="H264" s="125"/>
    </row>
    <row r="265" spans="1:8" s="126" customFormat="1" x14ac:dyDescent="0.25">
      <c r="A265" s="88"/>
      <c r="B265" s="89" t="s">
        <v>137</v>
      </c>
      <c r="C265" s="86">
        <f>881354.5097-C270</f>
        <v>866354.50970000005</v>
      </c>
      <c r="D265" s="87"/>
      <c r="E265" s="87"/>
      <c r="H265" s="125"/>
    </row>
    <row r="266" spans="1:8" s="126" customFormat="1" x14ac:dyDescent="0.25">
      <c r="A266" s="88"/>
      <c r="B266" s="90" t="s">
        <v>138</v>
      </c>
      <c r="C266" s="86"/>
      <c r="D266" s="87"/>
      <c r="E266" s="87"/>
      <c r="H266" s="125"/>
    </row>
    <row r="267" spans="1:8" s="126" customFormat="1" x14ac:dyDescent="0.25">
      <c r="A267" s="88"/>
      <c r="B267" s="91" t="s">
        <v>139</v>
      </c>
      <c r="C267" s="86">
        <f>+SUM(C268:C269)</f>
        <v>127952.95</v>
      </c>
      <c r="D267" s="87"/>
      <c r="E267" s="87"/>
      <c r="H267" s="125"/>
    </row>
    <row r="268" spans="1:8" s="126" customFormat="1" ht="33" x14ac:dyDescent="0.25">
      <c r="A268" s="88"/>
      <c r="B268" s="90" t="s">
        <v>310</v>
      </c>
      <c r="C268" s="86">
        <f>127952.95-20000</f>
        <v>107952.95</v>
      </c>
      <c r="D268" s="87"/>
      <c r="E268" s="87"/>
      <c r="H268" s="125"/>
    </row>
    <row r="269" spans="1:8" s="126" customFormat="1" ht="38.25" customHeight="1" x14ac:dyDescent="0.25">
      <c r="A269" s="88"/>
      <c r="B269" s="90" t="s">
        <v>311</v>
      </c>
      <c r="C269" s="86">
        <v>20000</v>
      </c>
      <c r="D269" s="87"/>
      <c r="E269" s="87"/>
      <c r="H269" s="125"/>
    </row>
    <row r="270" spans="1:8" s="126" customFormat="1" ht="33" x14ac:dyDescent="0.25">
      <c r="A270" s="88"/>
      <c r="B270" s="89" t="s">
        <v>152</v>
      </c>
      <c r="C270" s="86">
        <v>15000</v>
      </c>
      <c r="D270" s="87"/>
      <c r="E270" s="87"/>
      <c r="H270" s="125"/>
    </row>
    <row r="271" spans="1:8" s="126" customFormat="1" x14ac:dyDescent="0.25">
      <c r="A271" s="81" t="s">
        <v>312</v>
      </c>
      <c r="B271" s="82" t="s">
        <v>313</v>
      </c>
      <c r="C271" s="83">
        <f>+SUM(C273,C274)</f>
        <v>40691.495299999995</v>
      </c>
      <c r="D271" s="79"/>
      <c r="E271" s="79"/>
      <c r="F271" s="80"/>
      <c r="G271" s="124"/>
      <c r="H271" s="125"/>
    </row>
    <row r="272" spans="1:8" s="126" customFormat="1" x14ac:dyDescent="0.25">
      <c r="A272" s="84"/>
      <c r="B272" s="85" t="s">
        <v>136</v>
      </c>
      <c r="C272" s="86"/>
      <c r="D272" s="87"/>
      <c r="E272" s="87"/>
      <c r="H272" s="125"/>
    </row>
    <row r="273" spans="1:8" s="126" customFormat="1" x14ac:dyDescent="0.25">
      <c r="A273" s="88"/>
      <c r="B273" s="89" t="s">
        <v>137</v>
      </c>
      <c r="C273" s="86">
        <v>40691.495299999995</v>
      </c>
      <c r="D273" s="87"/>
      <c r="E273" s="87"/>
      <c r="H273" s="125"/>
    </row>
    <row r="274" spans="1:8" s="126" customFormat="1" ht="33" x14ac:dyDescent="0.25">
      <c r="A274" s="88"/>
      <c r="B274" s="89" t="s">
        <v>152</v>
      </c>
      <c r="C274" s="86"/>
      <c r="D274" s="87"/>
      <c r="E274" s="87"/>
      <c r="H274" s="125"/>
    </row>
    <row r="275" spans="1:8" s="126" customFormat="1" x14ac:dyDescent="0.25">
      <c r="A275" s="81" t="s">
        <v>314</v>
      </c>
      <c r="B275" s="82" t="s">
        <v>315</v>
      </c>
      <c r="C275" s="83">
        <f>+SUM(C277,C281)</f>
        <v>75441.708599999998</v>
      </c>
      <c r="D275" s="79"/>
      <c r="E275" s="79"/>
      <c r="F275" s="80"/>
      <c r="G275" s="124"/>
      <c r="H275" s="125"/>
    </row>
    <row r="276" spans="1:8" s="126" customFormat="1" x14ac:dyDescent="0.25">
      <c r="A276" s="84"/>
      <c r="B276" s="85" t="s">
        <v>136</v>
      </c>
      <c r="C276" s="86"/>
      <c r="D276" s="87"/>
      <c r="E276" s="87"/>
      <c r="H276" s="125"/>
    </row>
    <row r="277" spans="1:8" s="126" customFormat="1" x14ac:dyDescent="0.25">
      <c r="A277" s="88"/>
      <c r="B277" s="89" t="s">
        <v>137</v>
      </c>
      <c r="C277" s="86">
        <f>75441.7086-C281</f>
        <v>75441.708599999998</v>
      </c>
      <c r="D277" s="87"/>
      <c r="E277" s="87"/>
      <c r="H277" s="125"/>
    </row>
    <row r="278" spans="1:8" s="126" customFormat="1" x14ac:dyDescent="0.25">
      <c r="A278" s="88"/>
      <c r="B278" s="90" t="s">
        <v>138</v>
      </c>
      <c r="C278" s="86"/>
      <c r="D278" s="87"/>
      <c r="E278" s="87"/>
      <c r="H278" s="125"/>
    </row>
    <row r="279" spans="1:8" s="126" customFormat="1" x14ac:dyDescent="0.25">
      <c r="A279" s="88"/>
      <c r="B279" s="91" t="s">
        <v>139</v>
      </c>
      <c r="C279" s="86">
        <f>+C280</f>
        <v>50000</v>
      </c>
      <c r="D279" s="87"/>
      <c r="E279" s="87"/>
      <c r="H279" s="125"/>
    </row>
    <row r="280" spans="1:8" s="126" customFormat="1" ht="33" x14ac:dyDescent="0.25">
      <c r="A280" s="88"/>
      <c r="B280" s="90" t="s">
        <v>316</v>
      </c>
      <c r="C280" s="86">
        <v>50000</v>
      </c>
      <c r="D280" s="92"/>
      <c r="E280" s="87"/>
      <c r="H280" s="125"/>
    </row>
    <row r="281" spans="1:8" s="126" customFormat="1" ht="33" x14ac:dyDescent="0.25">
      <c r="A281" s="88"/>
      <c r="B281" s="89" t="s">
        <v>152</v>
      </c>
      <c r="C281" s="86"/>
      <c r="D281" s="87"/>
      <c r="E281" s="87"/>
      <c r="H281" s="125"/>
    </row>
    <row r="282" spans="1:8" s="126" customFormat="1" x14ac:dyDescent="0.25">
      <c r="A282" s="105" t="s">
        <v>317</v>
      </c>
      <c r="B282" s="106" t="s">
        <v>318</v>
      </c>
      <c r="C282" s="153">
        <f>+SUM(C284,C285)</f>
        <v>16112.872599999999</v>
      </c>
      <c r="D282" s="79"/>
      <c r="E282" s="79"/>
      <c r="F282" s="80"/>
      <c r="G282" s="124"/>
      <c r="H282" s="125"/>
    </row>
    <row r="283" spans="1:8" s="126" customFormat="1" x14ac:dyDescent="0.25">
      <c r="A283" s="84"/>
      <c r="B283" s="85" t="s">
        <v>136</v>
      </c>
      <c r="C283" s="86"/>
      <c r="D283" s="87"/>
      <c r="E283" s="87"/>
      <c r="H283" s="125"/>
    </row>
    <row r="284" spans="1:8" s="126" customFormat="1" x14ac:dyDescent="0.25">
      <c r="A284" s="88"/>
      <c r="B284" s="89" t="s">
        <v>137</v>
      </c>
      <c r="C284" s="86">
        <v>16112.872599999999</v>
      </c>
      <c r="D284" s="87"/>
      <c r="E284" s="87"/>
      <c r="H284" s="125"/>
    </row>
    <row r="285" spans="1:8" s="126" customFormat="1" ht="33" x14ac:dyDescent="0.25">
      <c r="A285" s="88"/>
      <c r="B285" s="89" t="s">
        <v>152</v>
      </c>
      <c r="C285" s="86"/>
      <c r="D285" s="87"/>
      <c r="E285" s="87"/>
      <c r="H285" s="125"/>
    </row>
    <row r="286" spans="1:8" s="126" customFormat="1" x14ac:dyDescent="0.25">
      <c r="A286" s="81" t="s">
        <v>319</v>
      </c>
      <c r="B286" s="82" t="s">
        <v>320</v>
      </c>
      <c r="C286" s="83">
        <f>+SUM(C288,C289)</f>
        <v>350000</v>
      </c>
      <c r="D286" s="79"/>
      <c r="E286" s="79"/>
      <c r="F286" s="80"/>
      <c r="G286" s="124"/>
      <c r="H286" s="125"/>
    </row>
    <row r="287" spans="1:8" s="126" customFormat="1" x14ac:dyDescent="0.25">
      <c r="A287" s="81"/>
      <c r="B287" s="85" t="s">
        <v>136</v>
      </c>
      <c r="C287" s="83"/>
      <c r="D287" s="79"/>
      <c r="E287" s="79"/>
      <c r="H287" s="125"/>
    </row>
    <row r="288" spans="1:8" s="126" customFormat="1" x14ac:dyDescent="0.25">
      <c r="A288" s="81"/>
      <c r="B288" s="89" t="s">
        <v>137</v>
      </c>
      <c r="C288" s="86">
        <f>270000+80000</f>
        <v>350000</v>
      </c>
      <c r="D288" s="87"/>
      <c r="E288" s="87"/>
      <c r="H288" s="125"/>
    </row>
    <row r="289" spans="1:8" s="126" customFormat="1" ht="33" x14ac:dyDescent="0.25">
      <c r="A289" s="81"/>
      <c r="B289" s="89" t="s">
        <v>152</v>
      </c>
      <c r="C289" s="86"/>
      <c r="D289" s="87"/>
      <c r="E289" s="87"/>
      <c r="H289" s="125"/>
    </row>
    <row r="290" spans="1:8" s="126" customFormat="1" x14ac:dyDescent="0.25">
      <c r="A290" s="81" t="s">
        <v>321</v>
      </c>
      <c r="B290" s="82" t="s">
        <v>322</v>
      </c>
      <c r="C290" s="83">
        <f>+C292+C293</f>
        <v>446833.05408999999</v>
      </c>
      <c r="D290" s="79"/>
      <c r="E290" s="79"/>
      <c r="F290" s="80"/>
      <c r="G290" s="124"/>
      <c r="H290" s="125"/>
    </row>
    <row r="291" spans="1:8" s="126" customFormat="1" x14ac:dyDescent="0.25">
      <c r="A291" s="81"/>
      <c r="B291" s="85" t="s">
        <v>136</v>
      </c>
      <c r="C291" s="83"/>
      <c r="D291" s="87"/>
      <c r="E291" s="79"/>
      <c r="H291" s="125"/>
    </row>
    <row r="292" spans="1:8" s="126" customFormat="1" x14ac:dyDescent="0.25">
      <c r="A292" s="81"/>
      <c r="B292" s="89" t="s">
        <v>137</v>
      </c>
      <c r="C292" s="86">
        <f>446833.05409-C293</f>
        <v>396833.05408999999</v>
      </c>
      <c r="D292" s="87"/>
      <c r="E292" s="87"/>
      <c r="H292" s="125"/>
    </row>
    <row r="293" spans="1:8" s="126" customFormat="1" ht="33" x14ac:dyDescent="0.25">
      <c r="A293" s="81"/>
      <c r="B293" s="89" t="s">
        <v>152</v>
      </c>
      <c r="C293" s="86">
        <v>50000</v>
      </c>
      <c r="D293" s="87"/>
      <c r="E293" s="87"/>
      <c r="H293" s="125"/>
    </row>
    <row r="294" spans="1:8" s="126" customFormat="1" x14ac:dyDescent="0.25">
      <c r="A294" s="105" t="s">
        <v>323</v>
      </c>
      <c r="B294" s="82" t="s">
        <v>324</v>
      </c>
      <c r="C294" s="83">
        <f>+C296+C297</f>
        <v>160392.81661500002</v>
      </c>
      <c r="D294" s="79"/>
      <c r="E294" s="79"/>
      <c r="F294" s="80"/>
      <c r="G294" s="124"/>
      <c r="H294" s="125"/>
    </row>
    <row r="295" spans="1:8" s="126" customFormat="1" x14ac:dyDescent="0.25">
      <c r="A295" s="105"/>
      <c r="B295" s="85" t="s">
        <v>136</v>
      </c>
      <c r="C295" s="83"/>
      <c r="D295" s="79"/>
      <c r="E295" s="79"/>
      <c r="H295" s="125"/>
    </row>
    <row r="296" spans="1:8" s="126" customFormat="1" x14ac:dyDescent="0.25">
      <c r="A296" s="105"/>
      <c r="B296" s="89" t="s">
        <v>137</v>
      </c>
      <c r="C296" s="86">
        <v>160392.81661500002</v>
      </c>
      <c r="D296" s="87"/>
      <c r="E296" s="87"/>
      <c r="H296" s="125"/>
    </row>
    <row r="297" spans="1:8" s="126" customFormat="1" ht="33" x14ac:dyDescent="0.25">
      <c r="A297" s="105"/>
      <c r="B297" s="89" t="s">
        <v>152</v>
      </c>
      <c r="C297" s="86"/>
      <c r="D297" s="87"/>
      <c r="E297" s="87"/>
      <c r="H297" s="125"/>
    </row>
    <row r="298" spans="1:8" s="75" customFormat="1" x14ac:dyDescent="0.25">
      <c r="A298" s="105" t="s">
        <v>325</v>
      </c>
      <c r="B298" s="106" t="s">
        <v>326</v>
      </c>
      <c r="C298" s="153">
        <f>+SUM(C300,C301)</f>
        <v>33151.216699999997</v>
      </c>
      <c r="D298" s="79"/>
      <c r="E298" s="79"/>
      <c r="F298" s="80"/>
      <c r="G298" s="80"/>
      <c r="H298" s="76"/>
    </row>
    <row r="299" spans="1:8" s="75" customFormat="1" x14ac:dyDescent="0.25">
      <c r="A299" s="84"/>
      <c r="B299" s="85" t="s">
        <v>136</v>
      </c>
      <c r="C299" s="86"/>
      <c r="D299" s="87"/>
      <c r="E299" s="87"/>
      <c r="H299" s="76"/>
    </row>
    <row r="300" spans="1:8" s="75" customFormat="1" x14ac:dyDescent="0.25">
      <c r="A300" s="88"/>
      <c r="B300" s="89" t="s">
        <v>137</v>
      </c>
      <c r="C300" s="86">
        <v>33151.216699999997</v>
      </c>
      <c r="D300" s="87"/>
      <c r="E300" s="87"/>
      <c r="H300" s="76"/>
    </row>
    <row r="301" spans="1:8" s="75" customFormat="1" ht="33" x14ac:dyDescent="0.25">
      <c r="A301" s="88"/>
      <c r="B301" s="89" t="s">
        <v>152</v>
      </c>
      <c r="C301" s="86"/>
      <c r="D301" s="87"/>
      <c r="E301" s="87"/>
      <c r="H301" s="76"/>
    </row>
    <row r="302" spans="1:8" s="75" customFormat="1" ht="33" x14ac:dyDescent="0.25">
      <c r="A302" s="105" t="s">
        <v>327</v>
      </c>
      <c r="B302" s="106" t="s">
        <v>328</v>
      </c>
      <c r="C302" s="153">
        <f>+C304+C305+C306</f>
        <v>685534.25049999997</v>
      </c>
      <c r="D302" s="79"/>
      <c r="E302" s="79"/>
      <c r="F302" s="80"/>
      <c r="G302" s="80"/>
      <c r="H302" s="76"/>
    </row>
    <row r="303" spans="1:8" s="75" customFormat="1" x14ac:dyDescent="0.25">
      <c r="A303" s="84"/>
      <c r="B303" s="85" t="s">
        <v>136</v>
      </c>
      <c r="C303" s="86"/>
      <c r="D303" s="87"/>
      <c r="E303" s="87"/>
      <c r="H303" s="76"/>
    </row>
    <row r="304" spans="1:8" s="75" customFormat="1" x14ac:dyDescent="0.25">
      <c r="A304" s="88"/>
      <c r="B304" s="89" t="s">
        <v>137</v>
      </c>
      <c r="C304" s="86">
        <f>685534.2505-C305-C306</f>
        <v>85534.250499999966</v>
      </c>
      <c r="D304" s="87"/>
      <c r="E304" s="87"/>
      <c r="H304" s="76"/>
    </row>
    <row r="305" spans="1:8" s="75" customFormat="1" ht="33" x14ac:dyDescent="0.25">
      <c r="A305" s="88"/>
      <c r="B305" s="89" t="s">
        <v>152</v>
      </c>
      <c r="C305" s="86"/>
      <c r="D305" s="87"/>
      <c r="E305" s="87"/>
      <c r="H305" s="76"/>
    </row>
    <row r="306" spans="1:8" s="75" customFormat="1" x14ac:dyDescent="0.25">
      <c r="A306" s="88"/>
      <c r="B306" s="89" t="s">
        <v>329</v>
      </c>
      <c r="C306" s="86">
        <v>600000</v>
      </c>
      <c r="D306" s="87"/>
      <c r="E306" s="87"/>
      <c r="H306" s="76"/>
    </row>
    <row r="307" spans="1:8" s="126" customFormat="1" ht="33" x14ac:dyDescent="0.25">
      <c r="A307" s="81" t="s">
        <v>330</v>
      </c>
      <c r="B307" s="82" t="s">
        <v>331</v>
      </c>
      <c r="C307" s="83">
        <f>+SUM(C309,C310)</f>
        <v>20310.3462</v>
      </c>
      <c r="D307" s="79"/>
      <c r="E307" s="79"/>
      <c r="F307" s="80"/>
      <c r="G307" s="124"/>
      <c r="H307" s="125"/>
    </row>
    <row r="308" spans="1:8" s="126" customFormat="1" x14ac:dyDescent="0.25">
      <c r="A308" s="88"/>
      <c r="B308" s="85" t="s">
        <v>136</v>
      </c>
      <c r="C308" s="86"/>
      <c r="D308" s="87"/>
      <c r="E308" s="87"/>
      <c r="H308" s="125"/>
    </row>
    <row r="309" spans="1:8" s="126" customFormat="1" x14ac:dyDescent="0.25">
      <c r="A309" s="88"/>
      <c r="B309" s="89" t="s">
        <v>137</v>
      </c>
      <c r="C309" s="86">
        <v>20310.3462</v>
      </c>
      <c r="D309" s="87"/>
      <c r="E309" s="87"/>
      <c r="H309" s="125"/>
    </row>
    <row r="310" spans="1:8" s="126" customFormat="1" ht="33" x14ac:dyDescent="0.25">
      <c r="A310" s="88"/>
      <c r="B310" s="89" t="s">
        <v>152</v>
      </c>
      <c r="C310" s="86"/>
      <c r="D310" s="87"/>
      <c r="E310" s="87"/>
      <c r="H310" s="125"/>
    </row>
    <row r="311" spans="1:8" s="126" customFormat="1" ht="33" x14ac:dyDescent="0.25">
      <c r="A311" s="81" t="s">
        <v>332</v>
      </c>
      <c r="B311" s="82" t="s">
        <v>333</v>
      </c>
      <c r="C311" s="83">
        <f>+SUM(C313,C314)</f>
        <v>837.18384500000002</v>
      </c>
      <c r="D311" s="79"/>
      <c r="E311" s="79"/>
      <c r="F311" s="80"/>
      <c r="G311" s="124"/>
      <c r="H311" s="125"/>
    </row>
    <row r="312" spans="1:8" s="126" customFormat="1" x14ac:dyDescent="0.25">
      <c r="A312" s="81"/>
      <c r="B312" s="85" t="s">
        <v>136</v>
      </c>
      <c r="C312" s="83"/>
      <c r="D312" s="79"/>
      <c r="E312" s="79"/>
      <c r="H312" s="125"/>
    </row>
    <row r="313" spans="1:8" s="126" customFormat="1" x14ac:dyDescent="0.25">
      <c r="A313" s="81"/>
      <c r="B313" s="89" t="s">
        <v>137</v>
      </c>
      <c r="C313" s="86">
        <v>837.18384500000002</v>
      </c>
      <c r="D313" s="87"/>
      <c r="E313" s="87"/>
      <c r="H313" s="125"/>
    </row>
    <row r="314" spans="1:8" s="126" customFormat="1" ht="33" x14ac:dyDescent="0.25">
      <c r="A314" s="81"/>
      <c r="B314" s="89" t="s">
        <v>152</v>
      </c>
      <c r="C314" s="86"/>
      <c r="D314" s="87"/>
      <c r="E314" s="87"/>
      <c r="H314" s="125"/>
    </row>
    <row r="315" spans="1:8" s="126" customFormat="1" x14ac:dyDescent="0.25">
      <c r="A315" s="81" t="s">
        <v>334</v>
      </c>
      <c r="B315" s="82" t="s">
        <v>335</v>
      </c>
      <c r="C315" s="83">
        <f>+SUM(C317,C318)</f>
        <v>10947.639959999999</v>
      </c>
      <c r="D315" s="79"/>
      <c r="E315" s="79"/>
      <c r="F315" s="80"/>
      <c r="G315" s="124"/>
      <c r="H315" s="125"/>
    </row>
    <row r="316" spans="1:8" s="126" customFormat="1" x14ac:dyDescent="0.25">
      <c r="A316" s="81"/>
      <c r="B316" s="85" t="s">
        <v>136</v>
      </c>
      <c r="C316" s="83"/>
      <c r="D316" s="79"/>
      <c r="E316" s="79"/>
      <c r="H316" s="125"/>
    </row>
    <row r="317" spans="1:8" s="126" customFormat="1" x14ac:dyDescent="0.25">
      <c r="A317" s="81"/>
      <c r="B317" s="89" t="s">
        <v>137</v>
      </c>
      <c r="C317" s="86">
        <v>10947.639959999999</v>
      </c>
      <c r="D317" s="87"/>
      <c r="E317" s="87"/>
      <c r="H317" s="125"/>
    </row>
    <row r="318" spans="1:8" s="126" customFormat="1" ht="33" x14ac:dyDescent="0.25">
      <c r="A318" s="81"/>
      <c r="B318" s="89" t="s">
        <v>152</v>
      </c>
      <c r="C318" s="86"/>
      <c r="D318" s="87"/>
      <c r="E318" s="87"/>
      <c r="H318" s="125"/>
    </row>
    <row r="319" spans="1:8" s="126" customFormat="1" x14ac:dyDescent="0.25">
      <c r="A319" s="81" t="s">
        <v>336</v>
      </c>
      <c r="B319" s="82" t="s">
        <v>337</v>
      </c>
      <c r="C319" s="83">
        <f>+SUM(C321,C322)</f>
        <v>8726.4435000000012</v>
      </c>
      <c r="D319" s="79"/>
      <c r="E319" s="79"/>
      <c r="F319" s="80"/>
      <c r="G319" s="124"/>
      <c r="H319" s="125"/>
    </row>
    <row r="320" spans="1:8" s="126" customFormat="1" x14ac:dyDescent="0.25">
      <c r="A320" s="81"/>
      <c r="B320" s="85" t="s">
        <v>136</v>
      </c>
      <c r="C320" s="83"/>
      <c r="D320" s="79"/>
      <c r="E320" s="79"/>
      <c r="H320" s="125"/>
    </row>
    <row r="321" spans="1:8" s="126" customFormat="1" x14ac:dyDescent="0.25">
      <c r="A321" s="81"/>
      <c r="B321" s="89" t="s">
        <v>137</v>
      </c>
      <c r="C321" s="86">
        <v>8726.4435000000012</v>
      </c>
      <c r="D321" s="87"/>
      <c r="E321" s="87"/>
      <c r="H321" s="125"/>
    </row>
    <row r="322" spans="1:8" s="126" customFormat="1" ht="33" x14ac:dyDescent="0.25">
      <c r="A322" s="81"/>
      <c r="B322" s="89" t="s">
        <v>152</v>
      </c>
      <c r="C322" s="86"/>
      <c r="D322" s="87"/>
      <c r="E322" s="87"/>
      <c r="H322" s="125"/>
    </row>
    <row r="323" spans="1:8" s="126" customFormat="1" x14ac:dyDescent="0.25">
      <c r="A323" s="81" t="s">
        <v>338</v>
      </c>
      <c r="B323" s="82" t="s">
        <v>339</v>
      </c>
      <c r="C323" s="83">
        <f>+SUM(C325,C326)</f>
        <v>163743.25468499999</v>
      </c>
      <c r="D323" s="79"/>
      <c r="E323" s="79"/>
      <c r="F323" s="80"/>
      <c r="G323" s="124"/>
      <c r="H323" s="125"/>
    </row>
    <row r="324" spans="1:8" s="126" customFormat="1" x14ac:dyDescent="0.25">
      <c r="A324" s="81"/>
      <c r="B324" s="85" t="s">
        <v>136</v>
      </c>
      <c r="C324" s="83"/>
      <c r="D324" s="79"/>
      <c r="E324" s="79"/>
      <c r="H324" s="125"/>
    </row>
    <row r="325" spans="1:8" s="126" customFormat="1" x14ac:dyDescent="0.25">
      <c r="A325" s="81"/>
      <c r="B325" s="89" t="s">
        <v>137</v>
      </c>
      <c r="C325" s="86">
        <v>163743.25468499999</v>
      </c>
      <c r="D325" s="87"/>
      <c r="E325" s="87"/>
      <c r="H325" s="125"/>
    </row>
    <row r="326" spans="1:8" s="75" customFormat="1" ht="33" x14ac:dyDescent="0.25">
      <c r="A326" s="81"/>
      <c r="B326" s="89" t="s">
        <v>152</v>
      </c>
      <c r="C326" s="86"/>
      <c r="D326" s="87"/>
      <c r="E326" s="87"/>
      <c r="H326" s="76"/>
    </row>
    <row r="327" spans="1:8" s="75" customFormat="1" x14ac:dyDescent="0.25">
      <c r="A327" s="81" t="s">
        <v>340</v>
      </c>
      <c r="B327" s="82" t="s">
        <v>341</v>
      </c>
      <c r="C327" s="83">
        <f>+C329+C334</f>
        <v>177304.61979999999</v>
      </c>
      <c r="D327" s="79"/>
      <c r="E327" s="79"/>
      <c r="F327" s="80"/>
      <c r="G327" s="80"/>
      <c r="H327" s="76"/>
    </row>
    <row r="328" spans="1:8" s="75" customFormat="1" x14ac:dyDescent="0.25">
      <c r="A328" s="84"/>
      <c r="B328" s="85" t="s">
        <v>136</v>
      </c>
      <c r="C328" s="86"/>
      <c r="D328" s="87"/>
      <c r="E328" s="87"/>
      <c r="H328" s="76"/>
    </row>
    <row r="329" spans="1:8" s="75" customFormat="1" x14ac:dyDescent="0.25">
      <c r="A329" s="88"/>
      <c r="B329" s="89" t="s">
        <v>137</v>
      </c>
      <c r="C329" s="86">
        <f>177304.6198-C334</f>
        <v>177304.61979999999</v>
      </c>
      <c r="D329" s="87"/>
      <c r="E329" s="87"/>
      <c r="H329" s="76"/>
    </row>
    <row r="330" spans="1:8" s="75" customFormat="1" x14ac:dyDescent="0.25">
      <c r="A330" s="88"/>
      <c r="B330" s="90" t="s">
        <v>138</v>
      </c>
      <c r="C330" s="86"/>
      <c r="D330" s="87"/>
      <c r="E330" s="87"/>
      <c r="H330" s="76"/>
    </row>
    <row r="331" spans="1:8" s="75" customFormat="1" x14ac:dyDescent="0.25">
      <c r="A331" s="88"/>
      <c r="B331" s="91" t="s">
        <v>139</v>
      </c>
      <c r="C331" s="86">
        <f>+SUM(C332:C333)</f>
        <v>131700</v>
      </c>
      <c r="D331" s="87"/>
      <c r="E331" s="87"/>
      <c r="H331" s="76"/>
    </row>
    <row r="332" spans="1:8" s="75" customFormat="1" ht="33" x14ac:dyDescent="0.25">
      <c r="A332" s="88"/>
      <c r="B332" s="90" t="s">
        <v>342</v>
      </c>
      <c r="C332" s="86">
        <v>125000</v>
      </c>
      <c r="D332" s="87"/>
      <c r="E332" s="87"/>
      <c r="H332" s="76"/>
    </row>
    <row r="333" spans="1:8" s="75" customFormat="1" ht="33" x14ac:dyDescent="0.25">
      <c r="A333" s="88"/>
      <c r="B333" s="90" t="s">
        <v>343</v>
      </c>
      <c r="C333" s="86">
        <v>6700</v>
      </c>
      <c r="D333" s="87"/>
      <c r="E333" s="87"/>
      <c r="H333" s="76"/>
    </row>
    <row r="334" spans="1:8" s="75" customFormat="1" ht="33" x14ac:dyDescent="0.25">
      <c r="A334" s="84"/>
      <c r="B334" s="89" t="s">
        <v>152</v>
      </c>
      <c r="C334" s="86"/>
      <c r="D334" s="87"/>
      <c r="E334" s="87"/>
      <c r="H334" s="76"/>
    </row>
    <row r="335" spans="1:8" s="75" customFormat="1" ht="33" x14ac:dyDescent="0.25">
      <c r="A335" s="81" t="s">
        <v>344</v>
      </c>
      <c r="B335" s="82" t="s">
        <v>345</v>
      </c>
      <c r="C335" s="83">
        <f>+C337+C347</f>
        <v>21139386.0967675</v>
      </c>
      <c r="D335" s="79"/>
      <c r="E335" s="79"/>
      <c r="F335" s="80"/>
      <c r="G335" s="80"/>
      <c r="H335" s="76"/>
    </row>
    <row r="336" spans="1:8" s="75" customFormat="1" x14ac:dyDescent="0.25">
      <c r="A336" s="81"/>
      <c r="B336" s="85" t="s">
        <v>136</v>
      </c>
      <c r="C336" s="83"/>
      <c r="D336" s="87"/>
      <c r="E336" s="79"/>
      <c r="H336" s="76"/>
    </row>
    <row r="337" spans="1:8" s="75" customFormat="1" x14ac:dyDescent="0.25">
      <c r="A337" s="81"/>
      <c r="B337" s="89" t="s">
        <v>137</v>
      </c>
      <c r="C337" s="86">
        <f>21139386.0967675-C347</f>
        <v>21029386.0967675</v>
      </c>
      <c r="D337" s="87"/>
      <c r="E337" s="87"/>
      <c r="F337" s="80"/>
      <c r="G337" s="80"/>
      <c r="H337" s="76"/>
    </row>
    <row r="338" spans="1:8" s="75" customFormat="1" x14ac:dyDescent="0.25">
      <c r="A338" s="81"/>
      <c r="B338" s="91" t="s">
        <v>138</v>
      </c>
      <c r="C338" s="86"/>
      <c r="D338" s="87"/>
      <c r="E338" s="87"/>
      <c r="H338" s="76"/>
    </row>
    <row r="339" spans="1:8" s="75" customFormat="1" ht="33" x14ac:dyDescent="0.25">
      <c r="A339" s="81"/>
      <c r="B339" s="90" t="s">
        <v>346</v>
      </c>
      <c r="C339" s="127">
        <f>7417151.60715-60000</f>
        <v>7357151.6071499996</v>
      </c>
      <c r="D339" s="87"/>
      <c r="E339" s="87"/>
      <c r="H339" s="76"/>
    </row>
    <row r="340" spans="1:8" s="75" customFormat="1" ht="33" x14ac:dyDescent="0.25">
      <c r="A340" s="81"/>
      <c r="B340" s="90" t="s">
        <v>347</v>
      </c>
      <c r="C340" s="86">
        <v>1983432.8317499999</v>
      </c>
      <c r="D340" s="87"/>
      <c r="E340" s="87"/>
      <c r="H340" s="76"/>
    </row>
    <row r="341" spans="1:8" s="75" customFormat="1" ht="33" x14ac:dyDescent="0.25">
      <c r="A341" s="81"/>
      <c r="B341" s="90" t="s">
        <v>348</v>
      </c>
      <c r="C341" s="86">
        <v>5564695.3142299997</v>
      </c>
      <c r="D341" s="87"/>
      <c r="E341" s="87"/>
      <c r="H341" s="76"/>
    </row>
    <row r="342" spans="1:8" s="75" customFormat="1" ht="33" x14ac:dyDescent="0.25">
      <c r="A342" s="81"/>
      <c r="B342" s="90" t="s">
        <v>349</v>
      </c>
      <c r="C342" s="86">
        <v>275052.85260000004</v>
      </c>
      <c r="D342" s="87"/>
      <c r="E342" s="87"/>
      <c r="H342" s="76"/>
    </row>
    <row r="343" spans="1:8" s="75" customFormat="1" x14ac:dyDescent="0.25">
      <c r="A343" s="81"/>
      <c r="B343" s="90" t="s">
        <v>350</v>
      </c>
      <c r="C343" s="86">
        <v>271295.44949999999</v>
      </c>
      <c r="D343" s="87"/>
      <c r="E343" s="87"/>
      <c r="H343" s="76"/>
    </row>
    <row r="344" spans="1:8" s="75" customFormat="1" ht="33" x14ac:dyDescent="0.25">
      <c r="A344" s="81"/>
      <c r="B344" s="90" t="s">
        <v>351</v>
      </c>
      <c r="C344" s="86">
        <v>70029.7</v>
      </c>
      <c r="D344" s="87"/>
      <c r="E344" s="87"/>
      <c r="H344" s="76"/>
    </row>
    <row r="345" spans="1:8" s="75" customFormat="1" ht="33" x14ac:dyDescent="0.25">
      <c r="A345" s="105"/>
      <c r="B345" s="119" t="s">
        <v>352</v>
      </c>
      <c r="C345" s="86">
        <v>22621.674899999998</v>
      </c>
      <c r="D345" s="87"/>
      <c r="E345" s="87"/>
      <c r="H345" s="76"/>
    </row>
    <row r="346" spans="1:8" s="75" customFormat="1" ht="33" x14ac:dyDescent="0.25">
      <c r="A346" s="103"/>
      <c r="B346" s="119" t="s">
        <v>353</v>
      </c>
      <c r="C346" s="86">
        <v>140063.6</v>
      </c>
      <c r="D346" s="87"/>
      <c r="E346" s="87"/>
      <c r="H346" s="76"/>
    </row>
    <row r="347" spans="1:8" s="75" customFormat="1" ht="33" x14ac:dyDescent="0.25">
      <c r="A347" s="81"/>
      <c r="B347" s="89" t="s">
        <v>152</v>
      </c>
      <c r="C347" s="86">
        <v>110000</v>
      </c>
      <c r="D347" s="87"/>
      <c r="E347" s="87"/>
      <c r="H347" s="76"/>
    </row>
    <row r="348" spans="1:8" s="75" customFormat="1" x14ac:dyDescent="0.25">
      <c r="A348" s="81" t="s">
        <v>354</v>
      </c>
      <c r="B348" s="82" t="s">
        <v>355</v>
      </c>
      <c r="C348" s="83">
        <f>+C350+C357</f>
        <v>456135.53239499999</v>
      </c>
      <c r="D348" s="79"/>
      <c r="E348" s="79"/>
      <c r="F348" s="80"/>
      <c r="H348" s="76"/>
    </row>
    <row r="349" spans="1:8" s="75" customFormat="1" x14ac:dyDescent="0.25">
      <c r="A349" s="84"/>
      <c r="B349" s="85" t="s">
        <v>136</v>
      </c>
      <c r="C349" s="86"/>
      <c r="D349" s="87"/>
      <c r="E349" s="87"/>
      <c r="H349" s="76"/>
    </row>
    <row r="350" spans="1:8" s="75" customFormat="1" x14ac:dyDescent="0.25">
      <c r="A350" s="88"/>
      <c r="B350" s="89" t="s">
        <v>137</v>
      </c>
      <c r="C350" s="86">
        <f>456135.532395-C357</f>
        <v>456135.53239499999</v>
      </c>
      <c r="D350" s="87"/>
      <c r="E350" s="87"/>
      <c r="H350" s="76"/>
    </row>
    <row r="351" spans="1:8" s="75" customFormat="1" x14ac:dyDescent="0.25">
      <c r="A351" s="88"/>
      <c r="B351" s="90" t="s">
        <v>138</v>
      </c>
      <c r="C351" s="86"/>
      <c r="D351" s="87"/>
      <c r="E351" s="87"/>
      <c r="H351" s="76"/>
    </row>
    <row r="352" spans="1:8" s="75" customFormat="1" x14ac:dyDescent="0.25">
      <c r="A352" s="88"/>
      <c r="B352" s="91" t="s">
        <v>139</v>
      </c>
      <c r="C352" s="86">
        <f>+SUM(C353:C356)</f>
        <v>362000</v>
      </c>
      <c r="D352" s="87"/>
      <c r="E352" s="87"/>
      <c r="H352" s="76"/>
    </row>
    <row r="353" spans="1:8" s="75" customFormat="1" ht="33" x14ac:dyDescent="0.25">
      <c r="A353" s="88"/>
      <c r="B353" s="90" t="s">
        <v>356</v>
      </c>
      <c r="C353" s="86">
        <v>250000</v>
      </c>
      <c r="D353" s="92"/>
      <c r="E353" s="87"/>
      <c r="F353" s="143"/>
      <c r="G353" s="80"/>
      <c r="H353" s="76"/>
    </row>
    <row r="354" spans="1:8" s="75" customFormat="1" ht="33" x14ac:dyDescent="0.25">
      <c r="A354" s="88"/>
      <c r="B354" s="90" t="s">
        <v>357</v>
      </c>
      <c r="C354" s="86">
        <v>50000</v>
      </c>
      <c r="D354" s="87"/>
      <c r="E354" s="87"/>
      <c r="H354" s="76"/>
    </row>
    <row r="355" spans="1:8" s="75" customFormat="1" ht="33" x14ac:dyDescent="0.25">
      <c r="A355" s="88"/>
      <c r="B355" s="90" t="s">
        <v>358</v>
      </c>
      <c r="C355" s="86">
        <v>12000</v>
      </c>
      <c r="D355" s="87"/>
      <c r="E355" s="87"/>
      <c r="H355" s="76"/>
    </row>
    <row r="356" spans="1:8" s="75" customFormat="1" x14ac:dyDescent="0.25">
      <c r="A356" s="88"/>
      <c r="B356" s="90" t="s">
        <v>359</v>
      </c>
      <c r="C356" s="86">
        <v>50000</v>
      </c>
      <c r="D356" s="87"/>
      <c r="E356" s="87"/>
      <c r="H356" s="76"/>
    </row>
    <row r="357" spans="1:8" s="75" customFormat="1" ht="33" x14ac:dyDescent="0.25">
      <c r="A357" s="88"/>
      <c r="B357" s="89" t="s">
        <v>152</v>
      </c>
      <c r="C357" s="86"/>
      <c r="D357" s="87"/>
      <c r="E357" s="87"/>
      <c r="H357" s="76"/>
    </row>
    <row r="358" spans="1:8" s="75" customFormat="1" ht="33" x14ac:dyDescent="0.25">
      <c r="A358" s="81" t="s">
        <v>360</v>
      </c>
      <c r="B358" s="82" t="s">
        <v>361</v>
      </c>
      <c r="C358" s="83">
        <f>+SUM(C360,C364)</f>
        <v>105683.5365</v>
      </c>
      <c r="D358" s="79"/>
      <c r="E358" s="79"/>
      <c r="F358" s="80"/>
      <c r="G358" s="80"/>
      <c r="H358" s="76"/>
    </row>
    <row r="359" spans="1:8" s="75" customFormat="1" x14ac:dyDescent="0.25">
      <c r="A359" s="84"/>
      <c r="B359" s="85" t="s">
        <v>136</v>
      </c>
      <c r="C359" s="86"/>
      <c r="D359" s="87"/>
      <c r="E359" s="87"/>
      <c r="H359" s="76"/>
    </row>
    <row r="360" spans="1:8" s="75" customFormat="1" x14ac:dyDescent="0.25">
      <c r="A360" s="88"/>
      <c r="B360" s="89" t="s">
        <v>137</v>
      </c>
      <c r="C360" s="86">
        <f>105683.5365-C364</f>
        <v>105683.5365</v>
      </c>
      <c r="D360" s="87"/>
      <c r="E360" s="87"/>
      <c r="H360" s="76"/>
    </row>
    <row r="361" spans="1:8" s="75" customFormat="1" x14ac:dyDescent="0.25">
      <c r="A361" s="88"/>
      <c r="B361" s="90" t="s">
        <v>138</v>
      </c>
      <c r="C361" s="86"/>
      <c r="D361" s="87"/>
      <c r="E361" s="87"/>
      <c r="H361" s="76"/>
    </row>
    <row r="362" spans="1:8" s="75" customFormat="1" x14ac:dyDescent="0.25">
      <c r="A362" s="88"/>
      <c r="B362" s="91" t="s">
        <v>139</v>
      </c>
      <c r="C362" s="86">
        <f>+C363</f>
        <v>70683</v>
      </c>
      <c r="D362" s="87"/>
      <c r="E362" s="87"/>
      <c r="H362" s="76"/>
    </row>
    <row r="363" spans="1:8" s="75" customFormat="1" ht="33" x14ac:dyDescent="0.25">
      <c r="A363" s="88"/>
      <c r="B363" s="90" t="s">
        <v>362</v>
      </c>
      <c r="C363" s="86">
        <v>70683</v>
      </c>
      <c r="D363" s="87"/>
      <c r="E363" s="87"/>
      <c r="H363" s="76"/>
    </row>
    <row r="364" spans="1:8" s="75" customFormat="1" ht="33" x14ac:dyDescent="0.25">
      <c r="A364" s="88"/>
      <c r="B364" s="89" t="s">
        <v>152</v>
      </c>
      <c r="C364" s="86"/>
      <c r="D364" s="87"/>
      <c r="E364" s="87"/>
      <c r="H364" s="76"/>
    </row>
    <row r="365" spans="1:8" s="75" customFormat="1" x14ac:dyDescent="0.25">
      <c r="A365" s="81" t="s">
        <v>363</v>
      </c>
      <c r="B365" s="82" t="s">
        <v>364</v>
      </c>
      <c r="C365" s="83">
        <f>+C367+C368+C369</f>
        <v>95684.866099999999</v>
      </c>
      <c r="D365" s="79"/>
      <c r="E365" s="79"/>
      <c r="F365" s="80"/>
      <c r="G365" s="80"/>
      <c r="H365" s="145"/>
    </row>
    <row r="366" spans="1:8" s="75" customFormat="1" x14ac:dyDescent="0.25">
      <c r="A366" s="84"/>
      <c r="B366" s="85" t="s">
        <v>136</v>
      </c>
      <c r="C366" s="86"/>
      <c r="D366" s="87"/>
      <c r="E366" s="87"/>
      <c r="H366" s="76"/>
    </row>
    <row r="367" spans="1:8" s="75" customFormat="1" x14ac:dyDescent="0.25">
      <c r="A367" s="88"/>
      <c r="B367" s="89" t="s">
        <v>137</v>
      </c>
      <c r="C367" s="86">
        <f>95684.8661-C369-C368</f>
        <v>45684.866099999999</v>
      </c>
      <c r="D367" s="87"/>
      <c r="E367" s="87"/>
      <c r="H367" s="76"/>
    </row>
    <row r="368" spans="1:8" s="75" customFormat="1" ht="33" x14ac:dyDescent="0.25">
      <c r="A368" s="88"/>
      <c r="B368" s="89" t="s">
        <v>152</v>
      </c>
      <c r="C368" s="86"/>
      <c r="D368" s="87"/>
      <c r="E368" s="87"/>
      <c r="H368" s="76"/>
    </row>
    <row r="369" spans="1:8" s="154" customFormat="1" ht="33" x14ac:dyDescent="0.25">
      <c r="A369" s="88"/>
      <c r="B369" s="89" t="s">
        <v>365</v>
      </c>
      <c r="C369" s="86">
        <v>50000</v>
      </c>
      <c r="D369" s="87"/>
      <c r="E369" s="87"/>
      <c r="H369" s="155"/>
    </row>
    <row r="370" spans="1:8" s="75" customFormat="1" ht="33" x14ac:dyDescent="0.25">
      <c r="A370" s="81" t="s">
        <v>366</v>
      </c>
      <c r="B370" s="82" t="s">
        <v>367</v>
      </c>
      <c r="C370" s="83">
        <f>+C372+C373</f>
        <v>28519.424999999999</v>
      </c>
      <c r="D370" s="79"/>
      <c r="E370" s="79"/>
      <c r="F370" s="80"/>
      <c r="G370" s="80"/>
      <c r="H370" s="145"/>
    </row>
    <row r="371" spans="1:8" s="75" customFormat="1" x14ac:dyDescent="0.25">
      <c r="A371" s="84"/>
      <c r="B371" s="85" t="s">
        <v>136</v>
      </c>
      <c r="C371" s="86"/>
      <c r="D371" s="87"/>
      <c r="E371" s="87"/>
      <c r="H371" s="76"/>
    </row>
    <row r="372" spans="1:8" s="75" customFormat="1" x14ac:dyDescent="0.25">
      <c r="A372" s="88"/>
      <c r="B372" s="89" t="s">
        <v>137</v>
      </c>
      <c r="C372" s="86">
        <v>28519.424999999999</v>
      </c>
      <c r="D372" s="87"/>
      <c r="E372" s="87"/>
      <c r="H372" s="76"/>
    </row>
    <row r="373" spans="1:8" s="75" customFormat="1" ht="33" x14ac:dyDescent="0.25">
      <c r="A373" s="88"/>
      <c r="B373" s="89" t="s">
        <v>152</v>
      </c>
      <c r="C373" s="86"/>
      <c r="D373" s="87"/>
      <c r="E373" s="87"/>
      <c r="H373" s="76"/>
    </row>
    <row r="374" spans="1:8" s="75" customFormat="1" ht="33" x14ac:dyDescent="0.25">
      <c r="A374" s="81" t="s">
        <v>368</v>
      </c>
      <c r="B374" s="82" t="s">
        <v>369</v>
      </c>
      <c r="C374" s="83">
        <f>+C376+C377</f>
        <v>43642.272110000005</v>
      </c>
      <c r="D374" s="79"/>
      <c r="E374" s="79"/>
      <c r="F374" s="80"/>
      <c r="G374" s="80"/>
      <c r="H374" s="145"/>
    </row>
    <row r="375" spans="1:8" s="75" customFormat="1" x14ac:dyDescent="0.25">
      <c r="A375" s="84"/>
      <c r="B375" s="85" t="s">
        <v>136</v>
      </c>
      <c r="C375" s="86"/>
      <c r="D375" s="87"/>
      <c r="E375" s="87"/>
      <c r="H375" s="76"/>
    </row>
    <row r="376" spans="1:8" s="75" customFormat="1" x14ac:dyDescent="0.25">
      <c r="A376" s="88"/>
      <c r="B376" s="89" t="s">
        <v>137</v>
      </c>
      <c r="C376" s="86">
        <v>43642.272110000005</v>
      </c>
      <c r="D376" s="87"/>
      <c r="E376" s="87"/>
      <c r="H376" s="76"/>
    </row>
    <row r="377" spans="1:8" s="75" customFormat="1" ht="33" x14ac:dyDescent="0.25">
      <c r="A377" s="88"/>
      <c r="B377" s="89" t="s">
        <v>152</v>
      </c>
      <c r="C377" s="86"/>
      <c r="D377" s="87"/>
      <c r="E377" s="87"/>
      <c r="H377" s="76"/>
    </row>
    <row r="378" spans="1:8" s="75" customFormat="1" ht="33" x14ac:dyDescent="0.25">
      <c r="A378" s="81" t="s">
        <v>370</v>
      </c>
      <c r="B378" s="82" t="s">
        <v>371</v>
      </c>
      <c r="C378" s="83">
        <f>+C380+C381</f>
        <v>3142.261</v>
      </c>
      <c r="D378" s="79"/>
      <c r="E378" s="79"/>
      <c r="F378" s="80"/>
      <c r="G378" s="80"/>
      <c r="H378" s="145"/>
    </row>
    <row r="379" spans="1:8" s="75" customFormat="1" x14ac:dyDescent="0.25">
      <c r="A379" s="84"/>
      <c r="B379" s="85" t="s">
        <v>136</v>
      </c>
      <c r="C379" s="86"/>
      <c r="D379" s="87"/>
      <c r="E379" s="87"/>
      <c r="H379" s="76"/>
    </row>
    <row r="380" spans="1:8" s="75" customFormat="1" x14ac:dyDescent="0.25">
      <c r="A380" s="88"/>
      <c r="B380" s="89" t="s">
        <v>137</v>
      </c>
      <c r="C380" s="86">
        <v>3142.261</v>
      </c>
      <c r="D380" s="87"/>
      <c r="E380" s="87"/>
      <c r="H380" s="76"/>
    </row>
    <row r="381" spans="1:8" s="75" customFormat="1" ht="33" x14ac:dyDescent="0.25">
      <c r="A381" s="88"/>
      <c r="B381" s="89" t="s">
        <v>152</v>
      </c>
      <c r="C381" s="86"/>
      <c r="D381" s="87"/>
      <c r="E381" s="87"/>
      <c r="H381" s="76"/>
    </row>
    <row r="382" spans="1:8" s="75" customFormat="1" ht="49.5" x14ac:dyDescent="0.25">
      <c r="A382" s="81" t="s">
        <v>372</v>
      </c>
      <c r="B382" s="82" t="s">
        <v>373</v>
      </c>
      <c r="C382" s="83">
        <f>+C384+C385</f>
        <v>28109.016299999999</v>
      </c>
      <c r="D382" s="79"/>
      <c r="E382" s="79"/>
      <c r="F382" s="80"/>
      <c r="G382" s="80"/>
      <c r="H382" s="145"/>
    </row>
    <row r="383" spans="1:8" s="75" customFormat="1" x14ac:dyDescent="0.25">
      <c r="A383" s="84"/>
      <c r="B383" s="85" t="s">
        <v>136</v>
      </c>
      <c r="C383" s="86"/>
      <c r="D383" s="87"/>
      <c r="E383" s="87"/>
      <c r="H383" s="76"/>
    </row>
    <row r="384" spans="1:8" s="75" customFormat="1" x14ac:dyDescent="0.25">
      <c r="A384" s="88"/>
      <c r="B384" s="89" t="s">
        <v>137</v>
      </c>
      <c r="C384" s="86">
        <v>28109.016299999999</v>
      </c>
      <c r="D384" s="87"/>
      <c r="E384" s="87"/>
      <c r="H384" s="76"/>
    </row>
    <row r="385" spans="1:8" s="75" customFormat="1" ht="33" x14ac:dyDescent="0.25">
      <c r="A385" s="88"/>
      <c r="B385" s="89" t="s">
        <v>152</v>
      </c>
      <c r="C385" s="86"/>
      <c r="D385" s="87"/>
      <c r="E385" s="87"/>
      <c r="H385" s="76"/>
    </row>
    <row r="386" spans="1:8" s="75" customFormat="1" ht="33" x14ac:dyDescent="0.25">
      <c r="A386" s="81" t="s">
        <v>374</v>
      </c>
      <c r="B386" s="82" t="s">
        <v>375</v>
      </c>
      <c r="C386" s="83">
        <f>+C388+C389</f>
        <v>9268.1275999999998</v>
      </c>
      <c r="D386" s="79"/>
      <c r="E386" s="87"/>
      <c r="H386" s="76"/>
    </row>
    <row r="387" spans="1:8" s="75" customFormat="1" x14ac:dyDescent="0.25">
      <c r="A387" s="84"/>
      <c r="B387" s="85" t="s">
        <v>136</v>
      </c>
      <c r="C387" s="86"/>
      <c r="D387" s="87"/>
      <c r="E387" s="87"/>
      <c r="H387" s="76"/>
    </row>
    <row r="388" spans="1:8" s="75" customFormat="1" x14ac:dyDescent="0.25">
      <c r="A388" s="88"/>
      <c r="B388" s="89" t="s">
        <v>137</v>
      </c>
      <c r="C388" s="86">
        <v>9268.1275999999998</v>
      </c>
      <c r="D388" s="87"/>
      <c r="E388" s="87"/>
      <c r="H388" s="76"/>
    </row>
    <row r="389" spans="1:8" s="75" customFormat="1" ht="33" x14ac:dyDescent="0.25">
      <c r="A389" s="88"/>
      <c r="B389" s="89" t="s">
        <v>152</v>
      </c>
      <c r="C389" s="86"/>
      <c r="D389" s="87"/>
      <c r="E389" s="87"/>
      <c r="H389" s="76"/>
    </row>
    <row r="390" spans="1:8" s="126" customFormat="1" x14ac:dyDescent="0.25">
      <c r="A390" s="156"/>
      <c r="B390" s="157"/>
      <c r="C390" s="158"/>
      <c r="D390" s="158"/>
      <c r="E390" s="158"/>
      <c r="H390" s="125"/>
    </row>
    <row r="391" spans="1:8" s="126" customFormat="1" x14ac:dyDescent="0.25">
      <c r="A391" s="156"/>
      <c r="B391" s="157"/>
      <c r="C391" s="158"/>
      <c r="D391" s="158"/>
      <c r="E391" s="158"/>
      <c r="H391" s="125"/>
    </row>
    <row r="392" spans="1:8" s="126" customFormat="1" x14ac:dyDescent="0.25">
      <c r="A392" s="156"/>
      <c r="B392" s="157"/>
      <c r="C392" s="158"/>
      <c r="D392" s="158"/>
      <c r="E392" s="158"/>
      <c r="H392" s="125"/>
    </row>
    <row r="393" spans="1:8" s="126" customFormat="1" x14ac:dyDescent="0.25">
      <c r="A393" s="156"/>
      <c r="B393" s="157"/>
      <c r="C393" s="158"/>
      <c r="D393" s="158"/>
      <c r="E393" s="158"/>
      <c r="H393" s="125"/>
    </row>
    <row r="394" spans="1:8" s="126" customFormat="1" x14ac:dyDescent="0.25">
      <c r="A394" s="156"/>
      <c r="B394" s="157"/>
      <c r="C394" s="158"/>
      <c r="D394" s="158"/>
      <c r="E394" s="158"/>
      <c r="H394" s="125"/>
    </row>
    <row r="395" spans="1:8" s="126" customFormat="1" x14ac:dyDescent="0.25">
      <c r="A395" s="156"/>
      <c r="B395" s="157"/>
      <c r="C395" s="158"/>
      <c r="D395" s="158"/>
      <c r="E395" s="158"/>
      <c r="H395" s="125"/>
    </row>
    <row r="396" spans="1:8" s="126" customFormat="1" x14ac:dyDescent="0.25">
      <c r="A396" s="156"/>
      <c r="B396" s="157"/>
      <c r="C396" s="158"/>
      <c r="D396" s="158"/>
      <c r="E396" s="158"/>
      <c r="H396" s="125"/>
    </row>
    <row r="397" spans="1:8" s="126" customFormat="1" x14ac:dyDescent="0.25">
      <c r="A397" s="156"/>
      <c r="B397" s="157"/>
      <c r="C397" s="158"/>
      <c r="D397" s="158"/>
      <c r="E397" s="158"/>
      <c r="H397" s="125"/>
    </row>
    <row r="398" spans="1:8" s="126" customFormat="1" x14ac:dyDescent="0.25">
      <c r="A398" s="156"/>
      <c r="B398" s="157"/>
      <c r="C398" s="158"/>
      <c r="D398" s="158"/>
      <c r="E398" s="158"/>
      <c r="H398" s="125"/>
    </row>
    <row r="399" spans="1:8" s="126" customFormat="1" x14ac:dyDescent="0.25">
      <c r="A399" s="156"/>
      <c r="B399" s="157"/>
      <c r="C399" s="158"/>
      <c r="D399" s="158"/>
      <c r="E399" s="158"/>
      <c r="H399" s="125"/>
    </row>
    <row r="400" spans="1:8" s="126" customFormat="1" x14ac:dyDescent="0.25">
      <c r="A400" s="156"/>
      <c r="B400" s="157"/>
      <c r="C400" s="158"/>
      <c r="D400" s="158"/>
      <c r="E400" s="158"/>
      <c r="H400" s="125"/>
    </row>
  </sheetData>
  <mergeCells count="2">
    <mergeCell ref="A5:C5"/>
    <mergeCell ref="A6:B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Лист1</vt:lpstr>
      <vt:lpstr>Лист2</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2025-04-19T13:03:16Z</dcterms:modified>
</cp:coreProperties>
</file>